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Sample Submission forms and guidelines\Multiome &amp; Nucseq\"/>
    </mc:Choice>
  </mc:AlternateContent>
  <xr:revisionPtr revIDLastSave="0" documentId="13_ncr:1_{F788398D-D388-4960-B1BD-B20DC9590D88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ubmission Form Entry" sheetId="1" r:id="rId1"/>
    <sheet name="Sheet1" sheetId="7" state="hidden" r:id="rId2"/>
    <sheet name="Lists_New" sheetId="5" state="hidden" r:id="rId3"/>
    <sheet name="Sheet2" sheetId="4" state="hidden" r:id="rId4"/>
    <sheet name="LIMS upload" sheetId="3" state="hidden" r:id="rId5"/>
    <sheet name="Lists" sheetId="2" state="hidden" r:id="rId6"/>
  </sheets>
  <definedNames>
    <definedName name="apple">Lists_New!$B$2:$B$3</definedName>
    <definedName name="banana">Lists_New!$C$2:$C$6</definedName>
    <definedName name="ChemOptions3pr">Table5[3pr options]</definedName>
    <definedName name="ChemOptions5pr">Table4[5pr options]</definedName>
    <definedName name="CiteSeq3pr">Lists_New!$F$1:$F$3</definedName>
    <definedName name="CiteSeq5pr">Lists_New!$F$4:$F$5</definedName>
    <definedName name="HTCiteseqOptions">Lists_New!$G$2:$G$5</definedName>
    <definedName name="New_Kits">Lists_New!$A$8:$A$13</definedName>
    <definedName name="NextGEM">Lists!$A$24:$A$31</definedName>
    <definedName name="Nucseq">Lists!$A$40:$A$43</definedName>
    <definedName name="NucseqNextGEM">Lists!$A$34:$A$37</definedName>
    <definedName name="Old_Kits">Lists_New!$A$7:$A$7</definedName>
    <definedName name="Original_GEM">Lists!$A$14:$A$21</definedName>
    <definedName name="Sample_Source">Lists!$A$7:$A$11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H19" i="1" l="1"/>
  <c r="G19" i="1"/>
  <c r="F19" i="1"/>
  <c r="F5" i="3" l="1"/>
  <c r="A11" i="1"/>
  <c r="A39" i="1"/>
  <c r="A36" i="1" l="1"/>
  <c r="A43" i="1" l="1"/>
  <c r="G43" i="1"/>
  <c r="H43" i="1"/>
  <c r="I43" i="1"/>
  <c r="J43" i="1" s="1"/>
  <c r="A42" i="1"/>
  <c r="G42" i="1"/>
  <c r="H42" i="1"/>
  <c r="I42" i="1"/>
  <c r="J42" i="1" s="1"/>
  <c r="A44" i="1"/>
  <c r="A53" i="1" l="1"/>
  <c r="A34" i="1"/>
  <c r="A35" i="1"/>
  <c r="A37" i="1"/>
  <c r="A38" i="1"/>
  <c r="A40" i="1"/>
  <c r="A41" i="1"/>
  <c r="A60" i="1" l="1"/>
  <c r="A61" i="1"/>
  <c r="A62" i="1"/>
  <c r="A63" i="1"/>
  <c r="A57" i="1"/>
  <c r="A58" i="1"/>
  <c r="A59" i="1"/>
  <c r="A68" i="1"/>
  <c r="A56" i="1"/>
  <c r="B55" i="1"/>
  <c r="E55" i="1"/>
  <c r="D55" i="1"/>
  <c r="C55" i="1"/>
  <c r="D67" i="1"/>
  <c r="A70" i="1"/>
  <c r="A73" i="1"/>
  <c r="A71" i="1"/>
  <c r="C67" i="1"/>
  <c r="A69" i="1"/>
  <c r="A55" i="1"/>
  <c r="A54" i="1"/>
  <c r="B67" i="1"/>
  <c r="A75" i="1"/>
  <c r="A67" i="1"/>
  <c r="A66" i="1"/>
  <c r="A72" i="1"/>
  <c r="A74" i="1"/>
  <c r="E63" i="1" l="1"/>
  <c r="E62" i="1"/>
  <c r="E61" i="1"/>
  <c r="E60" i="1"/>
  <c r="E59" i="1"/>
  <c r="E58" i="1"/>
  <c r="E57" i="1"/>
  <c r="E56" i="1"/>
  <c r="D63" i="1"/>
  <c r="D62" i="1"/>
  <c r="D61" i="1"/>
  <c r="D60" i="1"/>
  <c r="D59" i="1"/>
  <c r="D58" i="1"/>
  <c r="D57" i="1"/>
  <c r="D56" i="1"/>
  <c r="H34" i="1" l="1"/>
  <c r="I34" i="1" s="1"/>
  <c r="B45" i="2" l="1"/>
  <c r="J30" i="2"/>
  <c r="J29" i="2"/>
  <c r="C45" i="2" l="1"/>
  <c r="A45" i="2"/>
  <c r="F47" i="1" l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4" i="1"/>
  <c r="I44" i="1" s="1"/>
  <c r="B4" i="4"/>
  <c r="A1" i="4"/>
  <c r="B5" i="4" l="1"/>
  <c r="C4" i="4"/>
  <c r="D4" i="4"/>
  <c r="A4" i="4"/>
  <c r="O5" i="3"/>
  <c r="N5" i="3"/>
  <c r="M5" i="3"/>
  <c r="L5" i="3"/>
  <c r="K5" i="3"/>
  <c r="J5" i="3"/>
  <c r="B6" i="4" l="1"/>
  <c r="A5" i="4"/>
  <c r="C5" i="4"/>
  <c r="D5" i="4"/>
  <c r="G34" i="1"/>
  <c r="G44" i="1"/>
  <c r="G41" i="1"/>
  <c r="G40" i="1"/>
  <c r="G39" i="1"/>
  <c r="G38" i="1"/>
  <c r="G37" i="1"/>
  <c r="G36" i="1"/>
  <c r="G35" i="1"/>
  <c r="B7" i="4" l="1"/>
  <c r="A6" i="4"/>
  <c r="D6" i="4"/>
  <c r="C6" i="4"/>
  <c r="B8" i="4" l="1"/>
  <c r="A7" i="4"/>
  <c r="C7" i="4"/>
  <c r="D7" i="4"/>
  <c r="J44" i="1"/>
  <c r="J41" i="1"/>
  <c r="J40" i="1"/>
  <c r="J39" i="1"/>
  <c r="J38" i="1"/>
  <c r="J37" i="1"/>
  <c r="F7" i="4" s="1"/>
  <c r="I5" i="3"/>
  <c r="B9" i="4" l="1"/>
  <c r="A8" i="4"/>
  <c r="E7" i="4"/>
  <c r="J36" i="1"/>
  <c r="F6" i="4" s="1"/>
  <c r="E6" i="4"/>
  <c r="J35" i="1"/>
  <c r="F5" i="4" s="1"/>
  <c r="E5" i="4"/>
  <c r="J34" i="1"/>
  <c r="E4" i="4"/>
  <c r="P5" i="3"/>
  <c r="F8" i="4"/>
  <c r="C8" i="4"/>
  <c r="E8" i="4"/>
  <c r="D8" i="4"/>
  <c r="G5" i="3"/>
  <c r="E5" i="3"/>
  <c r="D5" i="3"/>
  <c r="C5" i="3"/>
  <c r="B5" i="3"/>
  <c r="A5" i="3"/>
  <c r="A6" i="3" s="1"/>
  <c r="F6" i="3" s="1"/>
  <c r="B10" i="4" l="1"/>
  <c r="A9" i="4"/>
  <c r="F4" i="4"/>
  <c r="Q5" i="3"/>
  <c r="D9" i="4"/>
  <c r="E9" i="4"/>
  <c r="F9" i="4"/>
  <c r="C9" i="4"/>
  <c r="I6" i="3"/>
  <c r="J6" i="3"/>
  <c r="Q6" i="3"/>
  <c r="P6" i="3"/>
  <c r="O6" i="3"/>
  <c r="N6" i="3"/>
  <c r="L6" i="3"/>
  <c r="M6" i="3"/>
  <c r="G6" i="3"/>
  <c r="C6" i="3"/>
  <c r="A7" i="3"/>
  <c r="F7" i="3" s="1"/>
  <c r="B6" i="3"/>
  <c r="H6" i="3"/>
  <c r="E6" i="3"/>
  <c r="D6" i="3"/>
  <c r="B11" i="4" l="1"/>
  <c r="A11" i="4" s="1"/>
  <c r="A10" i="4"/>
  <c r="F10" i="4"/>
  <c r="C10" i="4"/>
  <c r="E10" i="4"/>
  <c r="D10" i="4"/>
  <c r="I7" i="3"/>
  <c r="J7" i="3"/>
  <c r="P7" i="3"/>
  <c r="L7" i="3"/>
  <c r="M7" i="3"/>
  <c r="N7" i="3"/>
  <c r="O7" i="3"/>
  <c r="A8" i="3"/>
  <c r="F8" i="3" s="1"/>
  <c r="B7" i="3"/>
  <c r="G7" i="3"/>
  <c r="E7" i="3"/>
  <c r="H7" i="3"/>
  <c r="D7" i="3"/>
  <c r="H5" i="3"/>
  <c r="K6" i="3" l="1"/>
  <c r="K7" i="3"/>
  <c r="D11" i="4"/>
  <c r="E11" i="4"/>
  <c r="F11" i="4"/>
  <c r="C11" i="4"/>
  <c r="I8" i="3"/>
  <c r="K8" i="3"/>
  <c r="L8" i="3"/>
  <c r="N8" i="3"/>
  <c r="M8" i="3"/>
  <c r="O8" i="3"/>
  <c r="P8" i="3"/>
  <c r="J8" i="3"/>
  <c r="E8" i="3"/>
  <c r="H8" i="3"/>
  <c r="D8" i="3"/>
  <c r="A9" i="3"/>
  <c r="F9" i="3" s="1"/>
  <c r="G8" i="3"/>
  <c r="C8" i="3"/>
  <c r="B8" i="3"/>
  <c r="I9" i="3" l="1"/>
  <c r="L9" i="3"/>
  <c r="O9" i="3"/>
  <c r="J9" i="3"/>
  <c r="K9" i="3"/>
  <c r="M9" i="3"/>
  <c r="N9" i="3"/>
  <c r="P9" i="3"/>
  <c r="H9" i="3"/>
  <c r="D9" i="3"/>
  <c r="G9" i="3"/>
  <c r="C9" i="3"/>
  <c r="A10" i="3"/>
  <c r="F10" i="3" s="1"/>
  <c r="B9" i="3"/>
  <c r="E9" i="3"/>
  <c r="I10" i="3" l="1"/>
  <c r="M10" i="3"/>
  <c r="N10" i="3"/>
  <c r="K10" i="3"/>
  <c r="L10" i="3"/>
  <c r="O10" i="3"/>
  <c r="P10" i="3"/>
  <c r="J10" i="3"/>
  <c r="G10" i="3"/>
  <c r="C10" i="3"/>
  <c r="A11" i="3"/>
  <c r="F11" i="3" s="1"/>
  <c r="B10" i="3"/>
  <c r="D10" i="3"/>
  <c r="E10" i="3"/>
  <c r="H10" i="3"/>
  <c r="I11" i="3" l="1"/>
  <c r="N11" i="3"/>
  <c r="O11" i="3"/>
  <c r="P11" i="3"/>
  <c r="L11" i="3"/>
  <c r="J11" i="3"/>
  <c r="K11" i="3"/>
  <c r="M11" i="3"/>
  <c r="A12" i="3"/>
  <c r="F12" i="3" s="1"/>
  <c r="B11" i="3"/>
  <c r="C11" i="3"/>
  <c r="E11" i="3"/>
  <c r="G11" i="3"/>
  <c r="H11" i="3"/>
  <c r="D11" i="3"/>
  <c r="O12" i="3" l="1"/>
  <c r="P12" i="3"/>
  <c r="J12" i="3"/>
  <c r="N12" i="3"/>
  <c r="K12" i="3"/>
  <c r="L12" i="3"/>
  <c r="M12" i="3"/>
  <c r="A13" i="3"/>
  <c r="F13" i="3" s="1"/>
  <c r="I12" i="3"/>
  <c r="E12" i="3"/>
  <c r="H12" i="3"/>
  <c r="D12" i="3"/>
  <c r="B12" i="3"/>
  <c r="G12" i="3"/>
  <c r="C12" i="3"/>
  <c r="I13" i="3" l="1"/>
  <c r="P13" i="3"/>
  <c r="K13" i="3"/>
  <c r="N13" i="3"/>
  <c r="J13" i="3"/>
  <c r="O13" i="3"/>
  <c r="L13" i="3"/>
  <c r="M13" i="3"/>
  <c r="E13" i="3"/>
  <c r="H13" i="3"/>
  <c r="D13" i="3"/>
  <c r="G13" i="3"/>
  <c r="C13" i="3"/>
  <c r="B13" i="3"/>
</calcChain>
</file>

<file path=xl/sharedStrings.xml><?xml version="1.0" encoding="utf-8"?>
<sst xmlns="http://schemas.openxmlformats.org/spreadsheetml/2006/main" count="343" uniqueCount="235">
  <si>
    <t>Please fill in all highlighted cells.</t>
  </si>
  <si>
    <t>Is this a New Project?:</t>
  </si>
  <si>
    <t>[SELECT ONE]</t>
  </si>
  <si>
    <t>Submission Date (YYYY-MM-DD):</t>
  </si>
  <si>
    <t>Submitter Contact Name:</t>
  </si>
  <si>
    <t>Cell Ranger Version (optional):</t>
  </si>
  <si>
    <t>Submitter Contact Email:</t>
  </si>
  <si>
    <t>Immediate Sample Follow-up Phone Number:</t>
  </si>
  <si>
    <t>Principal Investigator:</t>
  </si>
  <si>
    <t>Reference Genome:</t>
  </si>
  <si>
    <t>Institute / University / Company:</t>
  </si>
  <si>
    <t>PI Approval Signature:</t>
  </si>
  <si>
    <t xml:space="preserve">Payment Source: </t>
  </si>
  <si>
    <t>Data Recipient Contact Name:</t>
  </si>
  <si>
    <t>Data Recipient Email:</t>
  </si>
  <si>
    <t>Billing Contact Name:</t>
  </si>
  <si>
    <t>UHN Cluster Space (if applicable):</t>
  </si>
  <si>
    <t>Billing Contact Email:</t>
  </si>
  <si>
    <r>
      <rPr>
        <b/>
        <sz val="12"/>
        <color rgb="FF000000"/>
        <rFont val="Arial"/>
      </rPr>
      <t xml:space="preserve">Please select </t>
    </r>
    <r>
      <rPr>
        <b/>
        <sz val="12"/>
        <color rgb="FFFF0000"/>
        <rFont val="Arial"/>
      </rPr>
      <t xml:space="preserve">Sample Product </t>
    </r>
    <r>
      <rPr>
        <b/>
        <sz val="12"/>
        <color rgb="FF000000"/>
        <rFont val="Arial"/>
      </rPr>
      <t>for Submission:</t>
    </r>
  </si>
  <si>
    <t>No</t>
  </si>
  <si>
    <r>
      <rPr>
        <b/>
        <sz val="12"/>
        <color rgb="FF000000"/>
        <rFont val="Arial"/>
      </rPr>
      <t xml:space="preserve">Please select </t>
    </r>
    <r>
      <rPr>
        <b/>
        <sz val="12"/>
        <color rgb="FFFF0000"/>
        <rFont val="Arial"/>
      </rPr>
      <t xml:space="preserve">Chemistry </t>
    </r>
    <r>
      <rPr>
        <b/>
        <sz val="12"/>
        <color rgb="FF000000"/>
        <rFont val="Arial"/>
      </rPr>
      <t>for Submission:</t>
    </r>
  </si>
  <si>
    <t>Please select barcoding strategy:</t>
  </si>
  <si>
    <t>Barcoding Method:</t>
  </si>
  <si>
    <t>Minimum Cell Viability for capture:</t>
  </si>
  <si>
    <t>80%&gt;</t>
  </si>
  <si>
    <t>Please select antibody used:</t>
  </si>
  <si>
    <t>#Antibodies used:</t>
  </si>
  <si>
    <t>*Please list antibodies and sequences on the next Sheet "Antibody List"</t>
  </si>
  <si>
    <t>Sample Type</t>
  </si>
  <si>
    <t>Sample Source (e.g. mouse kidney, human liver)</t>
  </si>
  <si>
    <t>Return Any Leftover Sample?</t>
  </si>
  <si>
    <t>Add_Lines_Here_Only</t>
  </si>
  <si>
    <t>PMGC Section ONLY:</t>
  </si>
  <si>
    <t>Sample Name</t>
  </si>
  <si>
    <t>Single Cell Kit Type</t>
  </si>
  <si>
    <t>PMGC Sample ID</t>
  </si>
  <si>
    <t>Notes</t>
  </si>
  <si>
    <t>Live</t>
  </si>
  <si>
    <t>Dead</t>
  </si>
  <si>
    <t>Sample Viability</t>
  </si>
  <si>
    <t>PMGC Count: (cells/ul) or (nuclei/ul)</t>
  </si>
  <si>
    <t>Sample Loading Vol (ul)</t>
  </si>
  <si>
    <t>Sample Buffer Loading Vol (ul)</t>
  </si>
  <si>
    <t>Conc Rounding?</t>
  </si>
  <si>
    <t>Sequencing Requirements and Additional Notes (processing prior submission e.g. # washes, sample quality, cell shape, tissue batch preference, etc):</t>
  </si>
  <si>
    <t>Original</t>
  </si>
  <si>
    <t>apple</t>
  </si>
  <si>
    <t>banana</t>
  </si>
  <si>
    <t>Nuc-seq Next GEM</t>
  </si>
  <si>
    <t>Barcoding Strategies</t>
  </si>
  <si>
    <t>Yes</t>
  </si>
  <si>
    <t>Pick-up extracted nuclei after GEM Generation</t>
  </si>
  <si>
    <t>Sample Multiplexing: I require PMGC to tag and pool my samples</t>
  </si>
  <si>
    <t>TotalSeqA</t>
  </si>
  <si>
    <t>Hashtagging</t>
  </si>
  <si>
    <t>PMGC Count: (nuclei/ul)</t>
  </si>
  <si>
    <t>Store extracted nuclei in -20C with 50% Glycerol</t>
  </si>
  <si>
    <t>Hashtagging/Cite-seq: My samples have been tagged and require PMGC to pool</t>
  </si>
  <si>
    <t>TotalSeqB</t>
  </si>
  <si>
    <t>Cite-seq</t>
  </si>
  <si>
    <t>PMGC Count: (cells/ul)</t>
  </si>
  <si>
    <t>Discard extracted nuclei after GEM Generation</t>
  </si>
  <si>
    <t>Hashtagging/Cite-seq: My samples have been tagged and already pooled</t>
  </si>
  <si>
    <t>TotalSeqC</t>
  </si>
  <si>
    <t>Hashtagging &amp; Cite-seq</t>
  </si>
  <si>
    <t>Kit Versions</t>
  </si>
  <si>
    <t>Store remaining tissue in -80C</t>
  </si>
  <si>
    <t>3' Gene Expression v3.1</t>
  </si>
  <si>
    <t>5' Immune Profiling v2.0</t>
  </si>
  <si>
    <t>sample #</t>
  </si>
  <si>
    <t>PMGC count
(cells/ul)</t>
  </si>
  <si>
    <t>Loading
Sample Vol</t>
  </si>
  <si>
    <t>Loading
dH2O</t>
  </si>
  <si>
    <t>&lt;TABLE HEADER&gt;</t>
  </si>
  <si>
    <t>Sample/Name</t>
  </si>
  <si>
    <t>UDF/Sample Source</t>
  </si>
  <si>
    <t>UDF/Purification Method</t>
  </si>
  <si>
    <t>UDF/Single Cell Kit Type</t>
  </si>
  <si>
    <t>UDF/Target Number of Cells</t>
  </si>
  <si>
    <t>UDF/Reference Genome</t>
  </si>
  <si>
    <t>UDF/Sample Type</t>
  </si>
  <si>
    <t>UDF/Sample Viability</t>
  </si>
  <si>
    <t>UDF/Clarity Score</t>
  </si>
  <si>
    <t>UDF/Resuspension Volume</t>
  </si>
  <si>
    <t>UDF/Resuspension Buffer</t>
  </si>
  <si>
    <t>UDF/Target Enrichment</t>
  </si>
  <si>
    <t>UDF/Live Cells</t>
  </si>
  <si>
    <t>UDF/Dead Cells</t>
  </si>
  <si>
    <t>UDF/Cell Count (cells/ul)</t>
  </si>
  <si>
    <t>UDF/Loading Sample Volume</t>
  </si>
  <si>
    <t>UDF/dH2O</t>
  </si>
  <si>
    <t>&lt;/TABLE HEADER&gt;</t>
  </si>
  <si>
    <t>&lt;SAMPLE ENTRIES&gt;</t>
  </si>
  <si>
    <t>Round Up</t>
  </si>
  <si>
    <t>Princess Margaret</t>
  </si>
  <si>
    <t>Chem Options</t>
  </si>
  <si>
    <t>5pr options</t>
  </si>
  <si>
    <t>3pr options</t>
  </si>
  <si>
    <t>CellRangerPipeline</t>
  </si>
  <si>
    <t>Round Down</t>
  </si>
  <si>
    <t>UHN (e.g. TGH, Krembil, TWH)</t>
  </si>
  <si>
    <t>ChemOptions5pr</t>
  </si>
  <si>
    <t>5' Gene Expression Only  (Standard)</t>
  </si>
  <si>
    <t>3' Gene Expression Only (Standard)</t>
  </si>
  <si>
    <t>&lt;30%</t>
  </si>
  <si>
    <t>Cell Ranger 7.1.0 (Latest)</t>
  </si>
  <si>
    <t>NEW PROJECT: Use the Latest Analysis Pipeline Version as recommended by 10X Genomics</t>
  </si>
  <si>
    <t>As Is</t>
  </si>
  <si>
    <t>Single Cells</t>
  </si>
  <si>
    <t>External Academic (e.g SickKids, UofT)</t>
  </si>
  <si>
    <t>ChemOptions3pr</t>
  </si>
  <si>
    <t>TCR</t>
  </si>
  <si>
    <t>Hashtag</t>
  </si>
  <si>
    <t>31-35%</t>
  </si>
  <si>
    <t xml:space="preserve">Cell Ranger 7.0.1 </t>
  </si>
  <si>
    <t>ON-GOING PROJECT: Use the same Analysis Pipeline version to a previous submission</t>
  </si>
  <si>
    <t>Commercial</t>
  </si>
  <si>
    <t>BCR</t>
  </si>
  <si>
    <t>Cite-Seq</t>
  </si>
  <si>
    <t>36-40%</t>
  </si>
  <si>
    <t>Cell Ranger 7.0.0</t>
  </si>
  <si>
    <t>Credit Card (if previously discussed with PMGC)</t>
  </si>
  <si>
    <t>Cite-Seq + Hashtag</t>
  </si>
  <si>
    <t>41-45%</t>
  </si>
  <si>
    <t>Cell Ranger 6.1.2</t>
  </si>
  <si>
    <t>TCR + BCR</t>
  </si>
  <si>
    <t>Targeted Gene Expression</t>
  </si>
  <si>
    <t>46-50%</t>
  </si>
  <si>
    <t>Cell Ranger 6.1.1</t>
  </si>
  <si>
    <t>Fresh Single Cell Suspension</t>
  </si>
  <si>
    <t>TCR + Cite-Seq</t>
  </si>
  <si>
    <t>CRISPR</t>
  </si>
  <si>
    <t>51-55%</t>
  </si>
  <si>
    <t>Cell Ranger 6.1.0</t>
  </si>
  <si>
    <t>Viably Frozen</t>
  </si>
  <si>
    <t>BCR + Cite-Seq</t>
  </si>
  <si>
    <t>CRISPR + Cell Multiplexing</t>
  </si>
  <si>
    <t>56-60%</t>
  </si>
  <si>
    <t>Cell Ranger 6.0.2</t>
  </si>
  <si>
    <t>Frozen Tissue</t>
  </si>
  <si>
    <t>TCR + BCR + Cite-Seq</t>
  </si>
  <si>
    <t>If other, please specify in comments below</t>
  </si>
  <si>
    <t>61%-65%</t>
  </si>
  <si>
    <t>Cell Ranger 6.0.1</t>
  </si>
  <si>
    <t>Methanol Fixation</t>
  </si>
  <si>
    <t>66-70%</t>
  </si>
  <si>
    <t>Not required, send FastQ only</t>
  </si>
  <si>
    <t>Other (explain in experimental conditions)</t>
  </si>
  <si>
    <t>71-75%</t>
  </si>
  <si>
    <t>76-80%</t>
  </si>
  <si>
    <t>Original_GEM</t>
  </si>
  <si>
    <t>total vol</t>
  </si>
  <si>
    <t>calculation</t>
  </si>
  <si>
    <t xml:space="preserve">capture efficiency </t>
  </si>
  <si>
    <t>3' v2</t>
  </si>
  <si>
    <t>target nuclei recovery / 0.575 / stock conc</t>
  </si>
  <si>
    <t>CRISPR + TCR</t>
  </si>
  <si>
    <t>Disuss with me via immediate contact number</t>
  </si>
  <si>
    <t>3' v3</t>
  </si>
  <si>
    <t>target nuclei recovery / 0.625 / stock conc</t>
  </si>
  <si>
    <t>CRISPR + BCR</t>
  </si>
  <si>
    <t>3' CITE-seq v3</t>
  </si>
  <si>
    <t>CRISPR + TCR + BCR</t>
  </si>
  <si>
    <t>3' Hashtag v3</t>
  </si>
  <si>
    <t xml:space="preserve">CRISPR + Cite-Seq </t>
  </si>
  <si>
    <t>3' Cell-Plexing v3</t>
  </si>
  <si>
    <t>CRISPR + Cite-Seq + TCR</t>
  </si>
  <si>
    <t>5' GEX v1</t>
  </si>
  <si>
    <t>CRISPR + Cite-Seq + TCR + BCR</t>
  </si>
  <si>
    <t>5' CITE-seq v1</t>
  </si>
  <si>
    <t>BEAM-Ab</t>
  </si>
  <si>
    <t>scATAC v1</t>
  </si>
  <si>
    <t>target nuclei recovery / 0.6535 / stock conc</t>
  </si>
  <si>
    <t>BEAM-T</t>
  </si>
  <si>
    <t>BEAM-Ab + BEAM-T</t>
  </si>
  <si>
    <t>Next GEM</t>
  </si>
  <si>
    <t>BEAM-Ab + BEAM-T + Cite-Seq</t>
  </si>
  <si>
    <t>3' GEX v3.1</t>
  </si>
  <si>
    <t>target nuclei recovery /0.605/stock conc</t>
  </si>
  <si>
    <t>BEAM-Ab + BEAM-T + Cite-Seq + TCR</t>
  </si>
  <si>
    <t>3' CITE-seq v3.1</t>
  </si>
  <si>
    <t>BEAM-Ab + BEAM-T + Cite-Seq + BCR</t>
  </si>
  <si>
    <t>3' Hashtag v3.1</t>
  </si>
  <si>
    <t>BEAM-Ab + BEAM-T + Cite-Seq + TCR + BCR</t>
  </si>
  <si>
    <t>3' Cell-Plexing v3.1</t>
  </si>
  <si>
    <t>BEAM-Ab + Cite-Seq</t>
  </si>
  <si>
    <t>5' GEX v2</t>
  </si>
  <si>
    <t>5' GEX v1.1</t>
  </si>
  <si>
    <t>target nuclei recovery/0.605/stock conc</t>
  </si>
  <si>
    <t>BEAM-Ab + TCR</t>
  </si>
  <si>
    <t>vol of sample</t>
  </si>
  <si>
    <t>target cell</t>
  </si>
  <si>
    <t>stock</t>
  </si>
  <si>
    <t>5' CITE-seq v1.1</t>
  </si>
  <si>
    <t>BEAM-Ab + BCR</t>
  </si>
  <si>
    <t>calc. as scRNA: targ. Nuclei recovery / 0.6535 / stock conc</t>
  </si>
  <si>
    <t>5' GEX v2.0</t>
  </si>
  <si>
    <t>BEAM-Ab + TCR + BCR</t>
  </si>
  <si>
    <t>scATAC v1.1</t>
  </si>
  <si>
    <t>BEAM-Ab + TCR + BCR + Cite-Seq</t>
  </si>
  <si>
    <t>BEAM-T + Cite-Seq</t>
  </si>
  <si>
    <t>BEAM-T + TCR</t>
  </si>
  <si>
    <t>Nuc-seq 3' v3.1</t>
  </si>
  <si>
    <t>BEAM-T + BCR</t>
  </si>
  <si>
    <t>Nuc-seq 5' GEX v1.1</t>
  </si>
  <si>
    <t>BEAM-T + TCR + BCR</t>
  </si>
  <si>
    <t>Nuc-seq 5' GEX v2.0</t>
  </si>
  <si>
    <t>BEAM-T + TCR + BCR + Cite-Seq</t>
  </si>
  <si>
    <t>Nuc-seq ATAC v1.1</t>
  </si>
  <si>
    <t>If other, please specify in the comments below</t>
  </si>
  <si>
    <t>[Customer Select One]</t>
  </si>
  <si>
    <t>Nuc-seq</t>
  </si>
  <si>
    <t>Nuc-seq 3' v2</t>
  </si>
  <si>
    <t>Nuc-seq 3' v3</t>
  </si>
  <si>
    <t>Nuc-seq 5' GEX v1</t>
  </si>
  <si>
    <t>Nuc-seq ATAC v1</t>
  </si>
  <si>
    <t>D25-D33</t>
  </si>
  <si>
    <t>3' v3.1</t>
  </si>
  <si>
    <t>scATAC v2.0</t>
  </si>
  <si>
    <t>Multiome v1.0 (snATAC + snRNA)</t>
  </si>
  <si>
    <t>Sample Tube Label</t>
  </si>
  <si>
    <t>Bioinformatic Name
*alphanumeric, _ or - only</t>
  </si>
  <si>
    <t xml:space="preserve">Frozen Cell Pellet </t>
  </si>
  <si>
    <t>Viably Frozen Cells</t>
  </si>
  <si>
    <t>Target # Nuclei (REQUIRED)</t>
  </si>
  <si>
    <t>Target # of reads per Nuclei (REQUIRED</t>
  </si>
  <si>
    <t>10X Genomics Single Nucleus Sample Submission Form</t>
  </si>
  <si>
    <r>
      <rPr>
        <b/>
        <sz val="36"/>
        <rFont val="Calibri"/>
        <family val="2"/>
        <scheme val="minor"/>
      </rPr>
      <t>☣</t>
    </r>
    <r>
      <rPr>
        <b/>
        <sz val="36"/>
        <color theme="9" tint="-0.499984740745262"/>
        <rFont val="Calibri"/>
        <family val="2"/>
        <scheme val="minor"/>
      </rPr>
      <t xml:space="preserve"> </t>
    </r>
  </si>
  <si>
    <t>Please provide a brief description of your project:</t>
  </si>
  <si>
    <t>Please describe any biohazards that we should be aware of while working with the samples:</t>
  </si>
  <si>
    <t>Are these specimens known or suspected to be infected with pathogens? (If Yes, please specify)</t>
  </si>
  <si>
    <t>3' Gene Expression v4.0</t>
  </si>
  <si>
    <t>Questions for Submission: johanna.regala@uhn.ca and harshpreet.dhall@uhn.ca</t>
  </si>
  <si>
    <r>
      <t xml:space="preserve">*PMGC will retain non-perishable cell preparation/tissue samples and resulting downstream products for no longer than </t>
    </r>
    <r>
      <rPr>
        <b/>
        <u/>
        <sz val="14"/>
        <color rgb="FF000000"/>
        <rFont val="Arial"/>
        <family val="2"/>
      </rPr>
      <t>3 years</t>
    </r>
    <r>
      <rPr>
        <b/>
        <sz val="14"/>
        <color rgb="FF000000"/>
        <rFont val="Arial"/>
        <family val="2"/>
      </rPr>
      <t xml:space="preserve"> from the date of submission </t>
    </r>
  </si>
  <si>
    <t>Version 2.0 (Rev August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</si>
</sst>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mmdd;@"/>
    <numFmt numFmtId="165" formatCode="0.0"/>
  </numFmts>
  <fonts count="31" x14ac:knownFonts="1">
    <font>
      <sz val="10"/>
      <color rgb="FF00000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rgb="FF222222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</font>
    <font>
      <b/>
      <sz val="12"/>
      <color rgb="FFFF0000"/>
      <name val="Arial"/>
    </font>
    <font>
      <b/>
      <sz val="12"/>
      <name val="Arial"/>
    </font>
    <font>
      <sz val="10"/>
      <color theme="1"/>
      <name val="Arial"/>
    </font>
    <font>
      <b/>
      <sz val="14"/>
      <color rgb="FF000000"/>
      <name val="Arial"/>
    </font>
    <font>
      <b/>
      <sz val="38"/>
      <color theme="0"/>
      <name val="Helvetica"/>
    </font>
    <font>
      <b/>
      <sz val="22"/>
      <color theme="8" tint="-0.249977111117893"/>
      <name val="Arial"/>
      <family val="2"/>
    </font>
    <font>
      <b/>
      <sz val="14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u/>
      <sz val="12"/>
      <color theme="10"/>
      <name val="Calibri"/>
      <family val="2"/>
      <scheme val="minor"/>
    </font>
    <font>
      <b/>
      <sz val="36"/>
      <color theme="9" tint="-0.499984740745262"/>
      <name val="Calibri"/>
      <family val="2"/>
      <scheme val="minor"/>
    </font>
    <font>
      <b/>
      <sz val="36"/>
      <name val="Calibri"/>
      <family val="2"/>
      <scheme val="minor"/>
    </font>
    <font>
      <b/>
      <sz val="12"/>
      <color theme="0"/>
      <name val="Helvetica"/>
    </font>
    <font>
      <b/>
      <u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7" fillId="0" borderId="0" xfId="0" applyFont="1"/>
    <xf numFmtId="164" fontId="7" fillId="0" borderId="0" xfId="0" quotePrefix="1" applyNumberFormat="1" applyFont="1"/>
    <xf numFmtId="0" fontId="0" fillId="0" borderId="2" xfId="0" applyBorder="1"/>
    <xf numFmtId="0" fontId="1" fillId="0" borderId="2" xfId="0" applyFont="1" applyBorder="1" applyAlignment="1">
      <alignment horizontal="center" vertical="center" wrapText="1"/>
    </xf>
    <xf numFmtId="9" fontId="0" fillId="0" borderId="2" xfId="1" applyFont="1" applyFill="1" applyBorder="1" applyAlignment="1"/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6" xfId="0" applyFont="1" applyBorder="1"/>
    <xf numFmtId="0" fontId="10" fillId="0" borderId="0" xfId="0" applyFont="1"/>
    <xf numFmtId="0" fontId="3" fillId="0" borderId="1" xfId="0" applyFont="1" applyBorder="1"/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9" fontId="0" fillId="0" borderId="0" xfId="1" applyFont="1" applyFill="1" applyBorder="1" applyAlignment="1"/>
    <xf numFmtId="0" fontId="7" fillId="0" borderId="2" xfId="0" applyFont="1" applyBorder="1"/>
    <xf numFmtId="0" fontId="12" fillId="0" borderId="0" xfId="0" applyFont="1"/>
    <xf numFmtId="165" fontId="0" fillId="0" borderId="2" xfId="0" applyNumberFormat="1" applyBorder="1"/>
    <xf numFmtId="0" fontId="1" fillId="0" borderId="7" xfId="0" applyFont="1" applyBorder="1" applyAlignment="1">
      <alignment horizontal="center" vertical="center" wrapText="1"/>
    </xf>
    <xf numFmtId="0" fontId="0" fillId="0" borderId="7" xfId="0" applyBorder="1"/>
    <xf numFmtId="0" fontId="7" fillId="0" borderId="4" xfId="0" applyFont="1" applyBorder="1"/>
    <xf numFmtId="0" fontId="0" fillId="0" borderId="4" xfId="0" applyBorder="1"/>
    <xf numFmtId="0" fontId="7" fillId="0" borderId="7" xfId="0" applyFont="1" applyBorder="1"/>
    <xf numFmtId="9" fontId="7" fillId="0" borderId="2" xfId="1" applyFont="1" applyFill="1" applyBorder="1" applyAlignment="1"/>
    <xf numFmtId="165" fontId="7" fillId="0" borderId="2" xfId="0" applyNumberFormat="1" applyFont="1" applyBorder="1"/>
    <xf numFmtId="0" fontId="13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0" borderId="2" xfId="0" applyFont="1" applyBorder="1"/>
    <xf numFmtId="0" fontId="18" fillId="2" borderId="8" xfId="0" applyFont="1" applyFill="1" applyBorder="1"/>
    <xf numFmtId="0" fontId="18" fillId="0" borderId="8" xfId="0" applyFont="1" applyBorder="1"/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9" fillId="0" borderId="0" xfId="0" applyFont="1"/>
    <xf numFmtId="0" fontId="2" fillId="0" borderId="0" xfId="0" applyFont="1"/>
    <xf numFmtId="0" fontId="0" fillId="3" borderId="0" xfId="0" applyFill="1" applyAlignment="1">
      <alignment horizontal="center"/>
    </xf>
    <xf numFmtId="0" fontId="21" fillId="0" borderId="0" xfId="0" applyFont="1" applyBorder="1" applyAlignment="1">
      <alignment vertical="center"/>
    </xf>
    <xf numFmtId="0" fontId="23" fillId="0" borderId="16" xfId="0" applyFont="1" applyBorder="1"/>
    <xf numFmtId="0" fontId="24" fillId="0" borderId="17" xfId="0" applyFont="1" applyBorder="1" applyAlignment="1">
      <alignment vertical="center"/>
    </xf>
    <xf numFmtId="0" fontId="23" fillId="0" borderId="0" xfId="0" applyFont="1" applyBorder="1"/>
    <xf numFmtId="0" fontId="24" fillId="0" borderId="3" xfId="0" applyFont="1" applyBorder="1"/>
    <xf numFmtId="0" fontId="24" fillId="0" borderId="2" xfId="0" applyFont="1" applyBorder="1"/>
    <xf numFmtId="0" fontId="22" fillId="0" borderId="2" xfId="0" applyFont="1" applyBorder="1"/>
    <xf numFmtId="0" fontId="22" fillId="0" borderId="2" xfId="0" applyFont="1" applyBorder="1" applyAlignment="1">
      <alignment wrapText="1"/>
    </xf>
    <xf numFmtId="0" fontId="23" fillId="0" borderId="23" xfId="0" applyFont="1" applyBorder="1"/>
    <xf numFmtId="0" fontId="24" fillId="0" borderId="24" xfId="0" applyFont="1" applyBorder="1" applyAlignment="1">
      <alignment horizontal="left" vertical="center" wrapText="1"/>
    </xf>
    <xf numFmtId="0" fontId="25" fillId="4" borderId="2" xfId="0" applyFont="1" applyFill="1" applyBorder="1"/>
    <xf numFmtId="0" fontId="27" fillId="5" borderId="25" xfId="2" applyFont="1" applyFill="1" applyBorder="1" applyAlignment="1">
      <alignment horizontal="left" vertical="top"/>
    </xf>
    <xf numFmtId="0" fontId="25" fillId="4" borderId="26" xfId="0" applyFont="1" applyFill="1" applyBorder="1"/>
    <xf numFmtId="0" fontId="25" fillId="4" borderId="19" xfId="0" applyFont="1" applyFill="1" applyBorder="1"/>
    <xf numFmtId="0" fontId="25" fillId="4" borderId="24" xfId="0" applyFont="1" applyFill="1" applyBorder="1"/>
    <xf numFmtId="0" fontId="25" fillId="4" borderId="2" xfId="0" applyFont="1" applyFill="1" applyBorder="1" applyAlignment="1">
      <alignment horizontal="center"/>
    </xf>
    <xf numFmtId="0" fontId="22" fillId="0" borderId="15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0" fontId="25" fillId="4" borderId="27" xfId="0" applyFont="1" applyFill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4" borderId="29" xfId="0" applyFont="1" applyFill="1" applyBorder="1"/>
    <xf numFmtId="0" fontId="25" fillId="4" borderId="30" xfId="0" applyFont="1" applyFill="1" applyBorder="1"/>
    <xf numFmtId="0" fontId="25" fillId="0" borderId="2" xfId="0" applyFont="1" applyFill="1" applyBorder="1"/>
    <xf numFmtId="0" fontId="25" fillId="0" borderId="24" xfId="0" applyFont="1" applyFill="1" applyBorder="1"/>
    <xf numFmtId="0" fontId="25" fillId="4" borderId="2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5" fillId="4" borderId="11" xfId="0" applyFont="1" applyFill="1" applyBorder="1"/>
    <xf numFmtId="0" fontId="25" fillId="4" borderId="12" xfId="0" applyFont="1" applyFill="1" applyBorder="1"/>
    <xf numFmtId="0" fontId="25" fillId="4" borderId="13" xfId="0" applyFont="1" applyFill="1" applyBorder="1"/>
    <xf numFmtId="0" fontId="25" fillId="4" borderId="14" xfId="0" applyFont="1" applyFill="1" applyBorder="1"/>
    <xf numFmtId="0" fontId="25" fillId="0" borderId="35" xfId="0" applyFont="1" applyFill="1" applyBorder="1" applyAlignment="1">
      <alignment horizontal="center"/>
    </xf>
    <xf numFmtId="0" fontId="25" fillId="0" borderId="36" xfId="0" applyFont="1" applyFill="1" applyBorder="1" applyAlignment="1">
      <alignment horizontal="center"/>
    </xf>
    <xf numFmtId="0" fontId="25" fillId="0" borderId="4" xfId="0" applyFont="1" applyFill="1" applyBorder="1"/>
    <xf numFmtId="0" fontId="25" fillId="0" borderId="33" xfId="0" applyFont="1" applyFill="1" applyBorder="1"/>
    <xf numFmtId="0" fontId="2" fillId="0" borderId="0" xfId="0" applyFont="1" applyBorder="1" applyAlignment="1">
      <alignment horizontal="left" wrapText="1"/>
    </xf>
    <xf numFmtId="0" fontId="10" fillId="0" borderId="0" xfId="0" applyFont="1" applyAlignment="1"/>
    <xf numFmtId="0" fontId="10" fillId="5" borderId="45" xfId="0" applyFont="1" applyFill="1" applyBorder="1" applyAlignment="1"/>
    <xf numFmtId="0" fontId="10" fillId="5" borderId="16" xfId="0" applyFont="1" applyFill="1" applyBorder="1" applyAlignment="1"/>
    <xf numFmtId="0" fontId="10" fillId="5" borderId="46" xfId="0" applyFont="1" applyFill="1" applyBorder="1" applyAlignment="1"/>
    <xf numFmtId="0" fontId="10" fillId="5" borderId="20" xfId="0" applyFont="1" applyFill="1" applyBorder="1" applyAlignment="1"/>
    <xf numFmtId="0" fontId="10" fillId="5" borderId="0" xfId="0" applyFont="1" applyFill="1" applyBorder="1" applyAlignment="1"/>
    <xf numFmtId="0" fontId="10" fillId="5" borderId="21" xfId="0" applyFont="1" applyFill="1" applyBorder="1" applyAlignment="1"/>
    <xf numFmtId="0" fontId="10" fillId="5" borderId="31" xfId="0" applyFont="1" applyFill="1" applyBorder="1" applyAlignment="1"/>
    <xf numFmtId="0" fontId="10" fillId="5" borderId="23" xfId="0" applyFont="1" applyFill="1" applyBorder="1" applyAlignment="1"/>
    <xf numFmtId="0" fontId="10" fillId="5" borderId="47" xfId="0" applyFont="1" applyFill="1" applyBorder="1" applyAlignment="1"/>
    <xf numFmtId="0" fontId="20" fillId="3" borderId="0" xfId="0" applyFont="1" applyFill="1" applyAlignment="1">
      <alignment vertical="center"/>
    </xf>
    <xf numFmtId="0" fontId="29" fillId="3" borderId="0" xfId="0" applyFont="1" applyFill="1" applyAlignment="1"/>
    <xf numFmtId="0" fontId="24" fillId="7" borderId="0" xfId="0" applyFont="1" applyFill="1"/>
    <xf numFmtId="0" fontId="0" fillId="7" borderId="0" xfId="0" applyFill="1"/>
    <xf numFmtId="0" fontId="19" fillId="7" borderId="0" xfId="0" applyFont="1" applyFill="1"/>
    <xf numFmtId="0" fontId="2" fillId="0" borderId="6" xfId="0" applyFont="1" applyBorder="1" applyAlignment="1">
      <alignment horizontal="left" wrapText="1"/>
    </xf>
    <xf numFmtId="0" fontId="22" fillId="6" borderId="37" xfId="0" applyFont="1" applyFill="1" applyBorder="1" applyAlignment="1">
      <alignment horizontal="left" vertical="top" wrapText="1"/>
    </xf>
    <xf numFmtId="0" fontId="22" fillId="6" borderId="38" xfId="0" applyFont="1" applyFill="1" applyBorder="1" applyAlignment="1">
      <alignment horizontal="left" vertical="top" wrapText="1"/>
    </xf>
    <xf numFmtId="0" fontId="22" fillId="6" borderId="39" xfId="0" applyFont="1" applyFill="1" applyBorder="1" applyAlignment="1">
      <alignment horizontal="left" vertical="top" wrapText="1"/>
    </xf>
    <xf numFmtId="0" fontId="22" fillId="6" borderId="40" xfId="0" applyFont="1" applyFill="1" applyBorder="1" applyAlignment="1">
      <alignment horizontal="left" vertical="top" wrapText="1"/>
    </xf>
    <xf numFmtId="0" fontId="22" fillId="6" borderId="0" xfId="0" applyFont="1" applyFill="1" applyAlignment="1">
      <alignment horizontal="left" vertical="top" wrapText="1"/>
    </xf>
    <xf numFmtId="0" fontId="22" fillId="6" borderId="41" xfId="0" applyFont="1" applyFill="1" applyBorder="1" applyAlignment="1">
      <alignment horizontal="left" vertical="top" wrapText="1"/>
    </xf>
    <xf numFmtId="0" fontId="22" fillId="6" borderId="42" xfId="0" applyFont="1" applyFill="1" applyBorder="1" applyAlignment="1">
      <alignment horizontal="left" vertical="top" wrapText="1"/>
    </xf>
    <xf numFmtId="0" fontId="22" fillId="6" borderId="43" xfId="0" applyFont="1" applyFill="1" applyBorder="1" applyAlignment="1">
      <alignment horizontal="left" vertical="top" wrapText="1"/>
    </xf>
    <xf numFmtId="0" fontId="22" fillId="6" borderId="44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1" fillId="6" borderId="28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wrapText="1"/>
    </xf>
    <xf numFmtId="0" fontId="1" fillId="6" borderId="27" xfId="0" applyFont="1" applyFill="1" applyBorder="1" applyAlignment="1">
      <alignment horizontal="center" wrapText="1"/>
    </xf>
    <xf numFmtId="0" fontId="1" fillId="6" borderId="29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19" xfId="0" applyFont="1" applyFill="1" applyBorder="1" applyAlignment="1">
      <alignment horizontal="center" wrapText="1"/>
    </xf>
    <xf numFmtId="0" fontId="1" fillId="6" borderId="30" xfId="0" applyFont="1" applyFill="1" applyBorder="1" applyAlignment="1">
      <alignment horizontal="center" wrapText="1"/>
    </xf>
    <xf numFmtId="0" fontId="1" fillId="6" borderId="24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rgb="FFFFFF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92D050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20604</xdr:colOff>
      <xdr:row>0</xdr:row>
      <xdr:rowOff>1</xdr:rowOff>
    </xdr:from>
    <xdr:to>
      <xdr:col>0</xdr:col>
      <xdr:colOff>5912269</xdr:colOff>
      <xdr:row>1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4" y="1"/>
          <a:ext cx="5891665" cy="1396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3</xdr:row>
          <xdr:rowOff>19050</xdr:rowOff>
        </xdr:from>
        <xdr:to>
          <xdr:col>5</xdr:col>
          <xdr:colOff>1125</xdr:colOff>
          <xdr:row>4</xdr:row>
          <xdr:rowOff>1125</xdr:rowOff>
        </xdr:to>
        <xdr:pic>
          <xdr:nvPicPr>
            <xdr:cNvPr id="16" name="Picture 15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4" spid="_x0000_s121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400800" y="704850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4</xdr:row>
          <xdr:rowOff>19050</xdr:rowOff>
        </xdr:from>
        <xdr:to>
          <xdr:col>5</xdr:col>
          <xdr:colOff>1125</xdr:colOff>
          <xdr:row>5</xdr:row>
          <xdr:rowOff>1125</xdr:rowOff>
        </xdr:to>
        <xdr:pic>
          <xdr:nvPicPr>
            <xdr:cNvPr id="19" name="Picture 18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5" spid="_x0000_s1212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400800" y="866775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5</xdr:row>
          <xdr:rowOff>19050</xdr:rowOff>
        </xdr:from>
        <xdr:to>
          <xdr:col>5</xdr:col>
          <xdr:colOff>1125</xdr:colOff>
          <xdr:row>6</xdr:row>
          <xdr:rowOff>1125</xdr:rowOff>
        </xdr:to>
        <xdr:pic>
          <xdr:nvPicPr>
            <xdr:cNvPr id="23" name="Picture 22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6" spid="_x0000_s1213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028700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6</xdr:row>
          <xdr:rowOff>19050</xdr:rowOff>
        </xdr:from>
        <xdr:to>
          <xdr:col>5</xdr:col>
          <xdr:colOff>1125</xdr:colOff>
          <xdr:row>7</xdr:row>
          <xdr:rowOff>1125</xdr:rowOff>
        </xdr:to>
        <xdr:pic>
          <xdr:nvPicPr>
            <xdr:cNvPr id="25" name="Picture 2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7" spid="_x0000_s1213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190625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7</xdr:row>
          <xdr:rowOff>19050</xdr:rowOff>
        </xdr:from>
        <xdr:to>
          <xdr:col>5</xdr:col>
          <xdr:colOff>1125</xdr:colOff>
          <xdr:row>8</xdr:row>
          <xdr:rowOff>1125</xdr:rowOff>
        </xdr:to>
        <xdr:pic>
          <xdr:nvPicPr>
            <xdr:cNvPr id="28" name="Picture 27">
              <a:extLst>
                <a:ext uri="{FF2B5EF4-FFF2-40B4-BE49-F238E27FC236}">
                  <a16:creationId xmlns:a16="http://schemas.microsoft.com/office/drawing/2014/main" id="{00000000-0008-0000-0400-00001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8" spid="_x0000_s1213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352550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8</xdr:row>
          <xdr:rowOff>19050</xdr:rowOff>
        </xdr:from>
        <xdr:to>
          <xdr:col>5</xdr:col>
          <xdr:colOff>1125</xdr:colOff>
          <xdr:row>9</xdr:row>
          <xdr:rowOff>1125</xdr:rowOff>
        </xdr:to>
        <xdr:pic>
          <xdr:nvPicPr>
            <xdr:cNvPr id="30" name="Picture 29">
              <a:extLst>
                <a:ext uri="{FF2B5EF4-FFF2-40B4-BE49-F238E27FC236}">
                  <a16:creationId xmlns:a16="http://schemas.microsoft.com/office/drawing/2014/main" id="{00000000-0008-0000-0400-00001E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9" spid="_x0000_s1213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514475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9</xdr:row>
          <xdr:rowOff>19050</xdr:rowOff>
        </xdr:from>
        <xdr:to>
          <xdr:col>5</xdr:col>
          <xdr:colOff>1125</xdr:colOff>
          <xdr:row>10</xdr:row>
          <xdr:rowOff>1125</xdr:rowOff>
        </xdr:to>
        <xdr:pic>
          <xdr:nvPicPr>
            <xdr:cNvPr id="33" name="Picture 32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10" spid="_x0000_s1213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676400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10</xdr:row>
          <xdr:rowOff>19050</xdr:rowOff>
        </xdr:from>
        <xdr:to>
          <xdr:col>5</xdr:col>
          <xdr:colOff>1125</xdr:colOff>
          <xdr:row>11</xdr:row>
          <xdr:rowOff>1125</xdr:rowOff>
        </xdr:to>
        <xdr:pic>
          <xdr:nvPicPr>
            <xdr:cNvPr id="36" name="Picture 35">
              <a:extLst>
                <a:ext uri="{FF2B5EF4-FFF2-40B4-BE49-F238E27FC236}">
                  <a16:creationId xmlns:a16="http://schemas.microsoft.com/office/drawing/2014/main" id="{00000000-0008-0000-0400-00002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G$11" spid="_x0000_s1213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400800" y="1838325"/>
              <a:ext cx="144000" cy="14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3:K44" totalsRowShown="0" headerRowDxfId="79" headerRowBorderDxfId="78" tableBorderDxfId="77">
  <tableColumns count="11">
    <tableColumn id="1" xr3:uid="{00000000-0010-0000-0000-000001000000}" name="Sample Name" dataDxfId="76">
      <calculatedColumnFormula>IF(A20&lt;&gt;"",A20,"")</calculatedColumnFormula>
    </tableColumn>
    <tableColumn id="2" xr3:uid="{00000000-0010-0000-0000-000002000000}" name="Single Cell Kit Type" dataDxfId="75"/>
    <tableColumn id="3" xr3:uid="{00000000-0010-0000-0000-000003000000}" name="PMGC Sample ID" dataDxfId="74"/>
    <tableColumn id="4" xr3:uid="{00000000-0010-0000-0000-000004000000}" name="Notes" dataDxfId="73"/>
    <tableColumn id="5" xr3:uid="{00000000-0010-0000-0000-000005000000}" name="Live" dataDxfId="72"/>
    <tableColumn id="6" xr3:uid="{00000000-0010-0000-0000-000006000000}" name="Dead" dataDxfId="71"/>
    <tableColumn id="7" xr3:uid="{00000000-0010-0000-0000-000007000000}" name="Sample Viability" dataDxfId="70" dataCellStyle="Percent">
      <calculatedColumnFormula>IF(AND(E34&gt;0),E34/SUM(E34:F34),"")</calculatedColumnFormula>
    </tableColumn>
    <tableColumn id="8" xr3:uid="{00000000-0010-0000-0000-000008000000}" name="PMGC Count: (cells/ul) or (nuclei/ul)" dataDxfId="69">
      <calculatedColumnFormula>IF(E34&lt;&gt;"",E34*5,"")</calculatedColumnFormula>
    </tableColumn>
    <tableColumn id="9" xr3:uid="{00000000-0010-0000-0000-000009000000}" name="Sample Loading Vol (ul)" dataDxfId="68">
      <calculatedColumnFormula>IFERROR(IF(K34="Round Up",I20/VLOOKUP(B34,Lists!$A$14:$D$43,4,FALSE)/ROUNDUP(H34,-2),IF(K34="Round Down",I20/VLOOKUP(B34,Lists!$A$14:$D$43,4,FALSE)/ROUNDDOWN(H34,-2),I20/VLOOKUP(B34,Lists!$A$14:$D$43,4,FALSE)/H34)),"")</calculatedColumnFormula>
    </tableColumn>
    <tableColumn id="10" xr3:uid="{00000000-0010-0000-0000-00000A000000}" name="Sample Buffer Loading Vol (ul)" dataDxfId="67">
      <calculatedColumnFormula>IFERROR(VLOOKUP(B34,Lists!$A$14:$B$43,2,FALSE)-I34,"")</calculatedColumnFormula>
    </tableColumn>
    <tableColumn id="11" xr3:uid="{00000000-0010-0000-0000-00000B000000}" name="Conc Rounding?" dataDxfId="6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F1:F3" totalsRowShown="0" headerRowDxfId="8" dataDxfId="7">
  <autoFilter ref="F1:F3" xr:uid="{00000000-0009-0000-0100-000003000000}"/>
  <tableColumns count="1">
    <tableColumn id="1" xr3:uid="{00000000-0010-0000-0100-000001000000}" name="Chem Options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G1:G38" totalsRowShown="0" headerRowDxfId="5" dataDxfId="4">
  <autoFilter ref="G1:G38" xr:uid="{00000000-0009-0000-0100-000004000000}"/>
  <tableColumns count="1">
    <tableColumn id="1" xr3:uid="{00000000-0010-0000-0200-000001000000}" name="5pr options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H1:H10" totalsRowShown="0" headerRowDxfId="2" dataDxfId="1">
  <autoFilter ref="H1:H10" xr:uid="{00000000-0009-0000-0100-000005000000}"/>
  <tableColumns count="1">
    <tableColumn id="1" xr3:uid="{00000000-0010-0000-0300-000001000000}" name="3pr option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4"/>
  <sheetViews>
    <sheetView tabSelected="1" zoomScale="60" zoomScaleNormal="60" workbookViewId="0">
      <selection activeCell="J1" sqref="J1"/>
    </sheetView>
  </sheetViews>
  <sheetFormatPr defaultColWidth="14.44140625" defaultRowHeight="15.75" customHeight="1" x14ac:dyDescent="0.25"/>
  <cols>
    <col min="1" max="1" width="95.33203125" customWidth="1"/>
    <col min="2" max="2" width="51.5546875" customWidth="1"/>
    <col min="3" max="3" width="27.109375" customWidth="1"/>
    <col min="4" max="4" width="57.33203125" customWidth="1"/>
    <col min="5" max="5" width="37.44140625" customWidth="1"/>
    <col min="6" max="6" width="42.33203125" bestFit="1" customWidth="1"/>
    <col min="7" max="7" width="29" bestFit="1" customWidth="1"/>
    <col min="8" max="8" width="27.109375" customWidth="1"/>
    <col min="9" max="9" width="20.33203125" customWidth="1"/>
    <col min="10" max="10" width="35.5546875" customWidth="1"/>
    <col min="11" max="11" width="40.109375" customWidth="1"/>
    <col min="12" max="12" width="22.6640625" customWidth="1"/>
    <col min="14" max="14" width="16.44140625" customWidth="1"/>
  </cols>
  <sheetData>
    <row r="1" spans="1:10" ht="103.8" customHeight="1" x14ac:dyDescent="0.3">
      <c r="A1" s="48"/>
      <c r="B1" s="99" t="s">
        <v>226</v>
      </c>
      <c r="C1" s="99"/>
      <c r="D1" s="99"/>
      <c r="E1" s="99"/>
      <c r="F1" s="100" t="s">
        <v>232</v>
      </c>
      <c r="G1" s="99"/>
      <c r="H1" s="99"/>
      <c r="I1" s="99"/>
      <c r="J1" s="100" t="s">
        <v>234</v>
      </c>
    </row>
    <row r="2" spans="1:10" ht="15.6" customHeight="1" x14ac:dyDescent="0.3">
      <c r="A2" s="101" t="s">
        <v>233</v>
      </c>
      <c r="B2" s="102"/>
      <c r="C2" s="102"/>
      <c r="D2" s="102"/>
      <c r="E2" s="102"/>
      <c r="F2" s="102"/>
      <c r="G2" s="103"/>
      <c r="H2" s="102"/>
      <c r="I2" s="102"/>
      <c r="J2" s="102"/>
    </row>
    <row r="3" spans="1:10" ht="15.75" customHeight="1" x14ac:dyDescent="0.3">
      <c r="G3" s="46"/>
    </row>
    <row r="4" spans="1:10" ht="29.4" customHeight="1" thickBot="1" x14ac:dyDescent="0.35">
      <c r="A4" s="49" t="s">
        <v>0</v>
      </c>
      <c r="G4" s="46"/>
    </row>
    <row r="5" spans="1:10" ht="22.5" customHeight="1" x14ac:dyDescent="0.3">
      <c r="A5" s="65" t="s">
        <v>3</v>
      </c>
      <c r="B5" s="61"/>
      <c r="C5" s="50"/>
      <c r="D5" s="51" t="s">
        <v>1</v>
      </c>
      <c r="E5" s="69" t="s">
        <v>2</v>
      </c>
    </row>
    <row r="6" spans="1:10" ht="17.399999999999999" x14ac:dyDescent="0.3">
      <c r="A6" s="66" t="s">
        <v>4</v>
      </c>
      <c r="B6" s="59"/>
      <c r="C6" s="52"/>
      <c r="D6" s="53" t="s">
        <v>5</v>
      </c>
      <c r="E6" s="62"/>
    </row>
    <row r="7" spans="1:10" ht="17.399999999999999" x14ac:dyDescent="0.3">
      <c r="A7" s="66" t="s">
        <v>6</v>
      </c>
      <c r="B7" s="59"/>
      <c r="C7" s="52"/>
      <c r="D7" s="54" t="s">
        <v>7</v>
      </c>
      <c r="E7" s="62"/>
    </row>
    <row r="8" spans="1:10" ht="17.399999999999999" x14ac:dyDescent="0.3">
      <c r="A8" s="66" t="s">
        <v>8</v>
      </c>
      <c r="B8" s="59"/>
      <c r="C8" s="52"/>
      <c r="D8" s="54" t="s">
        <v>9</v>
      </c>
      <c r="E8" s="62"/>
      <c r="G8" s="46"/>
    </row>
    <row r="9" spans="1:10" ht="17.399999999999999" x14ac:dyDescent="0.3">
      <c r="A9" s="66" t="s">
        <v>10</v>
      </c>
      <c r="B9" s="59"/>
      <c r="C9" s="52"/>
      <c r="D9" s="55" t="s">
        <v>11</v>
      </c>
      <c r="E9" s="62"/>
    </row>
    <row r="10" spans="1:10" ht="17.399999999999999" x14ac:dyDescent="0.3">
      <c r="A10" s="66" t="s">
        <v>12</v>
      </c>
      <c r="B10" s="64" t="s">
        <v>2</v>
      </c>
      <c r="C10" s="52"/>
      <c r="D10" s="56" t="s">
        <v>13</v>
      </c>
      <c r="E10" s="62"/>
    </row>
    <row r="11" spans="1:10" ht="15.75" customHeight="1" x14ac:dyDescent="0.3">
      <c r="A11" s="67" t="str">
        <f>IF(B10="Other","",IF(B10="Credit Card (if previously discussed with PMGC)","Do Not Enter Credit Card information.","UHN FCC or PO Number if provided:"))</f>
        <v>UHN FCC or PO Number if provided:</v>
      </c>
      <c r="B11" s="59"/>
      <c r="C11" s="52"/>
      <c r="D11" s="56" t="s">
        <v>14</v>
      </c>
      <c r="E11" s="62"/>
      <c r="F11" s="2"/>
    </row>
    <row r="12" spans="1:10" ht="17.399999999999999" x14ac:dyDescent="0.3">
      <c r="A12" s="66" t="s">
        <v>15</v>
      </c>
      <c r="B12" s="59"/>
      <c r="C12" s="52"/>
      <c r="D12" s="56" t="s">
        <v>16</v>
      </c>
      <c r="E12" s="62"/>
      <c r="F12" s="2"/>
      <c r="J12" s="39"/>
    </row>
    <row r="13" spans="1:10" ht="52.8" thickBot="1" x14ac:dyDescent="0.35">
      <c r="A13" s="68" t="s">
        <v>17</v>
      </c>
      <c r="B13" s="63"/>
      <c r="C13" s="57"/>
      <c r="D13" s="58" t="s">
        <v>230</v>
      </c>
      <c r="E13" s="60" t="s">
        <v>227</v>
      </c>
      <c r="F13" s="47"/>
      <c r="J13" s="39"/>
    </row>
    <row r="14" spans="1:10" ht="15" x14ac:dyDescent="0.25">
      <c r="A14" s="11"/>
      <c r="B14" s="1"/>
      <c r="C14" s="4"/>
      <c r="F14" s="2"/>
    </row>
    <row r="15" spans="1:10" ht="17.399999999999999" x14ac:dyDescent="0.3">
      <c r="A15" s="41" t="s">
        <v>18</v>
      </c>
      <c r="B15" s="64" t="s">
        <v>2</v>
      </c>
      <c r="C15" s="4"/>
    </row>
    <row r="16" spans="1:10" ht="17.399999999999999" x14ac:dyDescent="0.3">
      <c r="A16" s="41" t="s">
        <v>20</v>
      </c>
      <c r="B16" s="64" t="s">
        <v>2</v>
      </c>
      <c r="C16" s="4"/>
      <c r="D16" s="34" t="s">
        <v>21</v>
      </c>
      <c r="E16" s="35" t="s">
        <v>2</v>
      </c>
      <c r="F16" s="34" t="s">
        <v>22</v>
      </c>
      <c r="G16" s="37" t="s">
        <v>2</v>
      </c>
    </row>
    <row r="17" spans="1:15" ht="15.6" x14ac:dyDescent="0.3">
      <c r="A17" s="33" t="s">
        <v>23</v>
      </c>
      <c r="B17" s="77" t="s">
        <v>24</v>
      </c>
      <c r="C17" s="4"/>
      <c r="D17" s="33" t="s">
        <v>25</v>
      </c>
      <c r="E17" s="24" t="s">
        <v>2</v>
      </c>
      <c r="F17" s="33" t="s">
        <v>26</v>
      </c>
      <c r="H17" s="33" t="s">
        <v>27</v>
      </c>
    </row>
    <row r="18" spans="1:15" ht="16.2" thickBot="1" x14ac:dyDescent="0.35">
      <c r="A18" s="3"/>
      <c r="B18" s="1"/>
      <c r="C18" s="1"/>
      <c r="G18" s="1"/>
      <c r="H18" s="1"/>
    </row>
    <row r="19" spans="1:15" ht="46.8" x14ac:dyDescent="0.25">
      <c r="A19" s="70" t="s">
        <v>220</v>
      </c>
      <c r="B19" s="71" t="s">
        <v>221</v>
      </c>
      <c r="C19" s="71" t="s">
        <v>28</v>
      </c>
      <c r="D19" s="71" t="s">
        <v>29</v>
      </c>
      <c r="E19" s="71" t="str">
        <f>IF($B$15="Single Cells","Purification Method (beads, FACS, column, 40um filter, etc)", "Additional Sample Notes (e.g. control group, diseased, treated, sample for optimization, etc)")</f>
        <v>Additional Sample Notes (e.g. control group, diseased, treated, sample for optimization, etc)</v>
      </c>
      <c r="F19" s="71" t="str">
        <f>IF($B$15="Single Cells","Sample Buffer", "Tissue Weight (mg)")</f>
        <v>Tissue Weight (mg)</v>
      </c>
      <c r="G19" s="71" t="str">
        <f>IF($B$15="Single Cells","Volume (ul)", "Tissue Slice Orientation (optional)")</f>
        <v>Tissue Slice Orientation (optional)</v>
      </c>
      <c r="H19" s="78" t="str">
        <f>IF($B$15="Single Cells","Recommended Spin Conditions [ __ xg and time (min)]", "Exhaust Tissue if necessary?")</f>
        <v>Exhaust Tissue if necessary?</v>
      </c>
      <c r="I19" s="44" t="s">
        <v>224</v>
      </c>
      <c r="J19" s="45" t="s">
        <v>225</v>
      </c>
      <c r="K19" s="79" t="s">
        <v>30</v>
      </c>
      <c r="N19" s="12"/>
      <c r="O19" s="12"/>
    </row>
    <row r="20" spans="1:15" ht="15.75" customHeight="1" x14ac:dyDescent="0.3">
      <c r="A20" s="72"/>
      <c r="B20" s="59"/>
      <c r="C20" s="64" t="s">
        <v>2</v>
      </c>
      <c r="D20" s="74"/>
      <c r="E20" s="74"/>
      <c r="F20" s="74"/>
      <c r="G20" s="74"/>
      <c r="H20" s="86"/>
      <c r="I20" s="80"/>
      <c r="J20" s="81"/>
      <c r="K20" s="84" t="s">
        <v>2</v>
      </c>
    </row>
    <row r="21" spans="1:15" ht="15.75" customHeight="1" x14ac:dyDescent="0.3">
      <c r="A21" s="72"/>
      <c r="B21" s="59"/>
      <c r="C21" s="64" t="s">
        <v>2</v>
      </c>
      <c r="D21" s="74"/>
      <c r="E21" s="74"/>
      <c r="F21" s="74"/>
      <c r="G21" s="74"/>
      <c r="H21" s="86"/>
      <c r="I21" s="80"/>
      <c r="J21" s="81"/>
      <c r="K21" s="84" t="s">
        <v>2</v>
      </c>
    </row>
    <row r="22" spans="1:15" ht="15.75" customHeight="1" x14ac:dyDescent="0.3">
      <c r="A22" s="72"/>
      <c r="B22" s="59"/>
      <c r="C22" s="64" t="s">
        <v>2</v>
      </c>
      <c r="D22" s="74"/>
      <c r="E22" s="74"/>
      <c r="F22" s="74"/>
      <c r="G22" s="74"/>
      <c r="H22" s="86"/>
      <c r="I22" s="80"/>
      <c r="J22" s="81"/>
      <c r="K22" s="84" t="s">
        <v>2</v>
      </c>
    </row>
    <row r="23" spans="1:15" ht="15.75" customHeight="1" x14ac:dyDescent="0.3">
      <c r="A23" s="72"/>
      <c r="B23" s="59"/>
      <c r="C23" s="64" t="s">
        <v>2</v>
      </c>
      <c r="D23" s="74"/>
      <c r="E23" s="74"/>
      <c r="F23" s="74"/>
      <c r="G23" s="74"/>
      <c r="H23" s="86"/>
      <c r="I23" s="80"/>
      <c r="J23" s="81"/>
      <c r="K23" s="84" t="s">
        <v>2</v>
      </c>
    </row>
    <row r="24" spans="1:15" ht="15.75" customHeight="1" x14ac:dyDescent="0.3">
      <c r="A24" s="72"/>
      <c r="B24" s="59"/>
      <c r="C24" s="64" t="s">
        <v>2</v>
      </c>
      <c r="D24" s="74"/>
      <c r="E24" s="74"/>
      <c r="F24" s="74"/>
      <c r="G24" s="74"/>
      <c r="H24" s="86"/>
      <c r="I24" s="80"/>
      <c r="J24" s="81"/>
      <c r="K24" s="84" t="s">
        <v>2</v>
      </c>
    </row>
    <row r="25" spans="1:15" ht="15.75" customHeight="1" x14ac:dyDescent="0.3">
      <c r="A25" s="72"/>
      <c r="B25" s="59"/>
      <c r="C25" s="64" t="s">
        <v>2</v>
      </c>
      <c r="D25" s="74"/>
      <c r="E25" s="74"/>
      <c r="F25" s="74"/>
      <c r="G25" s="74"/>
      <c r="H25" s="86"/>
      <c r="I25" s="80"/>
      <c r="J25" s="81"/>
      <c r="K25" s="84" t="s">
        <v>2</v>
      </c>
    </row>
    <row r="26" spans="1:15" ht="15.75" customHeight="1" x14ac:dyDescent="0.3">
      <c r="A26" s="72"/>
      <c r="B26" s="59"/>
      <c r="C26" s="64" t="s">
        <v>2</v>
      </c>
      <c r="D26" s="74"/>
      <c r="E26" s="74"/>
      <c r="F26" s="74"/>
      <c r="G26" s="74"/>
      <c r="H26" s="86"/>
      <c r="I26" s="80"/>
      <c r="J26" s="81"/>
      <c r="K26" s="84" t="s">
        <v>2</v>
      </c>
    </row>
    <row r="27" spans="1:15" ht="15.75" customHeight="1" x14ac:dyDescent="0.3">
      <c r="A27" s="72"/>
      <c r="B27" s="59"/>
      <c r="C27" s="64" t="s">
        <v>2</v>
      </c>
      <c r="D27" s="74"/>
      <c r="E27" s="74"/>
      <c r="F27" s="74"/>
      <c r="G27" s="74"/>
      <c r="H27" s="86"/>
      <c r="I27" s="80"/>
      <c r="J27" s="81"/>
      <c r="K27" s="84" t="s">
        <v>2</v>
      </c>
    </row>
    <row r="28" spans="1:15" ht="15.75" customHeight="1" x14ac:dyDescent="0.3">
      <c r="A28" s="72"/>
      <c r="B28" s="59"/>
      <c r="C28" s="64" t="s">
        <v>2</v>
      </c>
      <c r="D28" s="74"/>
      <c r="E28" s="74"/>
      <c r="F28" s="74"/>
      <c r="G28" s="74"/>
      <c r="H28" s="86"/>
      <c r="I28" s="80"/>
      <c r="J28" s="81"/>
      <c r="K28" s="84" t="s">
        <v>2</v>
      </c>
    </row>
    <row r="29" spans="1:15" ht="15.75" customHeight="1" x14ac:dyDescent="0.3">
      <c r="A29" s="72"/>
      <c r="B29" s="59"/>
      <c r="C29" s="64" t="s">
        <v>2</v>
      </c>
      <c r="D29" s="74"/>
      <c r="E29" s="74"/>
      <c r="F29" s="74"/>
      <c r="G29" s="74"/>
      <c r="H29" s="86"/>
      <c r="I29" s="80"/>
      <c r="J29" s="81"/>
      <c r="K29" s="84" t="s">
        <v>2</v>
      </c>
    </row>
    <row r="30" spans="1:15" ht="18" thickBot="1" x14ac:dyDescent="0.35">
      <c r="A30" s="73" t="s">
        <v>31</v>
      </c>
      <c r="B30" s="63"/>
      <c r="C30" s="76" t="s">
        <v>2</v>
      </c>
      <c r="D30" s="75"/>
      <c r="E30" s="75"/>
      <c r="F30" s="75"/>
      <c r="G30" s="75"/>
      <c r="H30" s="87"/>
      <c r="I30" s="82"/>
      <c r="J30" s="83"/>
      <c r="K30" s="85" t="s">
        <v>2</v>
      </c>
    </row>
    <row r="31" spans="1:15" ht="15" x14ac:dyDescent="0.25">
      <c r="E31" s="1"/>
      <c r="F31" s="1"/>
      <c r="G31" s="1"/>
      <c r="H31" s="1"/>
    </row>
    <row r="32" spans="1:15" ht="15.6" hidden="1" x14ac:dyDescent="0.3">
      <c r="A32" s="15" t="s">
        <v>32</v>
      </c>
      <c r="B32" s="14"/>
      <c r="E32" s="14"/>
      <c r="F32" s="14"/>
      <c r="G32" s="14"/>
      <c r="H32" s="14"/>
      <c r="I32" s="14"/>
      <c r="J32" s="14"/>
      <c r="K32" s="14"/>
    </row>
    <row r="33" spans="1:15" ht="30.75" hidden="1" customHeight="1" x14ac:dyDescent="0.25">
      <c r="A33" s="26" t="s">
        <v>33</v>
      </c>
      <c r="B33" s="38" t="s">
        <v>34</v>
      </c>
      <c r="C33" s="8" t="s">
        <v>35</v>
      </c>
      <c r="D33" s="8" t="s">
        <v>36</v>
      </c>
      <c r="E33" s="10" t="s">
        <v>37</v>
      </c>
      <c r="F33" s="10" t="s">
        <v>38</v>
      </c>
      <c r="G33" s="10" t="s">
        <v>39</v>
      </c>
      <c r="H33" s="36" t="s">
        <v>40</v>
      </c>
      <c r="I33" s="10" t="s">
        <v>41</v>
      </c>
      <c r="J33" s="8" t="s">
        <v>42</v>
      </c>
      <c r="K33" s="40" t="s">
        <v>43</v>
      </c>
      <c r="L33" s="12"/>
    </row>
    <row r="34" spans="1:15" ht="15" hidden="1" x14ac:dyDescent="0.25">
      <c r="A34" s="27" t="str">
        <f t="shared" ref="A34:A42" si="0">IF(A20&lt;&gt;"",A20,"")</f>
        <v/>
      </c>
      <c r="B34" s="16"/>
      <c r="C34" s="23"/>
      <c r="D34" s="7"/>
      <c r="E34" s="7"/>
      <c r="F34" s="7"/>
      <c r="G34" s="9" t="str">
        <f t="shared" ref="G34:G44" si="1">IF(AND(E34&gt;0),E34/SUM(E34:F34),"")</f>
        <v/>
      </c>
      <c r="H34" s="7" t="str">
        <f t="shared" ref="H34:H44" si="2">IF(E34&lt;&gt;"",E34*5,"")</f>
        <v/>
      </c>
      <c r="I34" s="25" t="str">
        <f>IFERROR(IF(K34="Round Up",I20/VLOOKUP(B34,Lists!$A$14:$D$43,4,FALSE)/ROUNDUP(H34,-2),IF(K34="Round Down",I20/VLOOKUP(B34,Lists!$A$14:$D$43,4,FALSE)/ROUNDDOWN(H34,-2),I20/VLOOKUP(B34,Lists!$A$14:$D$43,4,FALSE)/H34)),"")</f>
        <v/>
      </c>
      <c r="J34" s="25" t="str">
        <f>IFERROR(VLOOKUP(B34,Lists!$A$14:$B$43,2,FALSE)-I34,"")</f>
        <v/>
      </c>
      <c r="K34" s="29"/>
      <c r="L34" s="5"/>
    </row>
    <row r="35" spans="1:15" ht="15" hidden="1" x14ac:dyDescent="0.25">
      <c r="A35" s="27" t="str">
        <f t="shared" si="0"/>
        <v/>
      </c>
      <c r="B35" s="16"/>
      <c r="C35" s="7"/>
      <c r="D35" s="7"/>
      <c r="E35" s="7"/>
      <c r="F35" s="7"/>
      <c r="G35" s="9" t="str">
        <f t="shared" si="1"/>
        <v/>
      </c>
      <c r="H35" s="7" t="str">
        <f t="shared" si="2"/>
        <v/>
      </c>
      <c r="I35" s="25" t="str">
        <f>IFERROR(IF(K35="Round Up",I21/VLOOKUP(B35,Lists!$A$14:$D$43,4,FALSE)/ROUNDUP(H35,-2),IF(K35="Round Down",I21/VLOOKUP(B35,Lists!$A$14:$D$43,4,FALSE)/ROUNDDOWN(H35,-2),I21/VLOOKUP(B35,Lists!$A$14:$D$43,4,FALSE)/H35)),"")</f>
        <v/>
      </c>
      <c r="J35" s="25" t="str">
        <f>IFERROR(VLOOKUP(B35,Lists!$A$14:$B$43,2,FALSE)-I35,"")</f>
        <v/>
      </c>
      <c r="K35" s="29"/>
    </row>
    <row r="36" spans="1:15" ht="15" hidden="1" x14ac:dyDescent="0.25">
      <c r="A36" s="27" t="str">
        <f t="shared" si="0"/>
        <v/>
      </c>
      <c r="B36" s="16"/>
      <c r="C36" s="7"/>
      <c r="D36" s="7"/>
      <c r="E36" s="7"/>
      <c r="F36" s="7"/>
      <c r="G36" s="9" t="str">
        <f t="shared" si="1"/>
        <v/>
      </c>
      <c r="H36" s="7" t="str">
        <f t="shared" si="2"/>
        <v/>
      </c>
      <c r="I36" s="25" t="str">
        <f>IFERROR(IF(K36="Round Up",I22/VLOOKUP(B36,Lists!$A$14:$D$43,4,FALSE)/ROUNDUP(H36,-2),IF(K36="Round Down",I22/VLOOKUP(B36,Lists!$A$14:$D$43,4,FALSE)/ROUNDDOWN(H36,-2),I22/VLOOKUP(B36,Lists!$A$14:$D$43,4,FALSE)/H36)),"")</f>
        <v/>
      </c>
      <c r="J36" s="25" t="str">
        <f>IFERROR(VLOOKUP(B36,Lists!$A$14:$B$43,2,FALSE)-I36,"")</f>
        <v/>
      </c>
      <c r="K36" s="29"/>
    </row>
    <row r="37" spans="1:15" ht="15" hidden="1" x14ac:dyDescent="0.25">
      <c r="A37" s="27" t="str">
        <f t="shared" si="0"/>
        <v/>
      </c>
      <c r="B37" s="16"/>
      <c r="C37" s="7"/>
      <c r="D37" s="7"/>
      <c r="E37" s="7"/>
      <c r="F37" s="7"/>
      <c r="G37" s="9" t="str">
        <f t="shared" si="1"/>
        <v/>
      </c>
      <c r="H37" s="7" t="str">
        <f t="shared" si="2"/>
        <v/>
      </c>
      <c r="I37" s="25" t="str">
        <f>IFERROR(IF(K37="Round Up",I23/VLOOKUP(B37,Lists!$A$14:$D$43,4,FALSE)/ROUNDUP(H37,-2),IF(K37="Round Down",I23/VLOOKUP(B37,Lists!$A$14:$D$43,4,FALSE)/ROUNDDOWN(H37,-2),I23/VLOOKUP(B37,Lists!$A$14:$D$43,4,FALSE)/H37)),"")</f>
        <v/>
      </c>
      <c r="J37" s="25" t="str">
        <f>IFERROR(VLOOKUP(B37,Lists!$A$14:$B$43,2,FALSE)-I37,"")</f>
        <v/>
      </c>
      <c r="K37" s="29"/>
    </row>
    <row r="38" spans="1:15" ht="15" hidden="1" x14ac:dyDescent="0.25">
      <c r="A38" s="27" t="str">
        <f t="shared" si="0"/>
        <v/>
      </c>
      <c r="B38" s="16"/>
      <c r="C38" s="7"/>
      <c r="D38" s="7"/>
      <c r="E38" s="7"/>
      <c r="F38" s="7"/>
      <c r="G38" s="9" t="str">
        <f t="shared" si="1"/>
        <v/>
      </c>
      <c r="H38" s="7" t="str">
        <f t="shared" si="2"/>
        <v/>
      </c>
      <c r="I38" s="25" t="str">
        <f>IFERROR(IF(K38="Round Up",I24/VLOOKUP(B38,Lists!$A$14:$D$43,4,FALSE)/ROUNDUP(H38,-2),IF(K38="Round Down",I24/VLOOKUP(B38,Lists!$A$14:$D$43,4,FALSE)/ROUNDDOWN(H38,-2),I24/VLOOKUP(B38,Lists!$A$14:$D$43,4,FALSE)/H38)),"")</f>
        <v/>
      </c>
      <c r="J38" s="25" t="str">
        <f>IFERROR(VLOOKUP(B38,Lists!$A$14:$B$43,2,FALSE)-I38,"")</f>
        <v/>
      </c>
      <c r="K38" s="29"/>
    </row>
    <row r="39" spans="1:15" ht="15" hidden="1" x14ac:dyDescent="0.25">
      <c r="A39" s="27" t="str">
        <f t="shared" si="0"/>
        <v/>
      </c>
      <c r="B39" s="16"/>
      <c r="C39" s="7"/>
      <c r="D39" s="7"/>
      <c r="E39" s="7"/>
      <c r="F39" s="7"/>
      <c r="G39" s="9" t="str">
        <f t="shared" si="1"/>
        <v/>
      </c>
      <c r="H39" s="7" t="str">
        <f t="shared" si="2"/>
        <v/>
      </c>
      <c r="I39" s="25" t="str">
        <f>IFERROR(IF(K39="Round Up",I25/VLOOKUP(B39,Lists!$A$14:$D$43,4,FALSE)/ROUNDUP(H39,-2),IF(K39="Round Down",I25/VLOOKUP(B39,Lists!$A$14:$D$43,4,FALSE)/ROUNDDOWN(H39,-2),I25/VLOOKUP(B39,Lists!$A$14:$D$43,4,FALSE)/H39)),"")</f>
        <v/>
      </c>
      <c r="J39" s="25" t="str">
        <f>IFERROR(VLOOKUP(B39,Lists!$A$14:$B$43,2,FALSE)-I39,"")</f>
        <v/>
      </c>
      <c r="K39" s="29"/>
    </row>
    <row r="40" spans="1:15" ht="15" hidden="1" x14ac:dyDescent="0.25">
      <c r="A40" s="27" t="str">
        <f t="shared" si="0"/>
        <v/>
      </c>
      <c r="B40" s="16"/>
      <c r="C40" s="7"/>
      <c r="D40" s="7"/>
      <c r="E40" s="7"/>
      <c r="F40" s="7"/>
      <c r="G40" s="9" t="str">
        <f t="shared" si="1"/>
        <v/>
      </c>
      <c r="H40" s="7" t="str">
        <f t="shared" si="2"/>
        <v/>
      </c>
      <c r="I40" s="25" t="str">
        <f>IFERROR(IF(K40="Round Up",I26/VLOOKUP(B40,Lists!$A$14:$D$43,4,FALSE)/ROUNDUP(H40,-2),IF(K40="Round Down",I26/VLOOKUP(B40,Lists!$A$14:$D$43,4,FALSE)/ROUNDDOWN(H40,-2),I26/VLOOKUP(B40,Lists!$A$14:$D$43,4,FALSE)/H40)),"")</f>
        <v/>
      </c>
      <c r="J40" s="25" t="str">
        <f>IFERROR(VLOOKUP(B40,Lists!$A$14:$B$43,2,FALSE)-I40,"")</f>
        <v/>
      </c>
      <c r="K40" s="29"/>
    </row>
    <row r="41" spans="1:15" ht="15" hidden="1" x14ac:dyDescent="0.25">
      <c r="A41" s="27" t="str">
        <f t="shared" si="0"/>
        <v/>
      </c>
      <c r="B41" s="16"/>
      <c r="C41" s="7"/>
      <c r="D41" s="7"/>
      <c r="E41" s="7"/>
      <c r="F41" s="7"/>
      <c r="G41" s="9" t="str">
        <f t="shared" si="1"/>
        <v/>
      </c>
      <c r="H41" s="7" t="str">
        <f t="shared" si="2"/>
        <v/>
      </c>
      <c r="I41" s="25" t="str">
        <f>IFERROR(IF(K41="Round Up",I27/VLOOKUP(B41,Lists!$A$14:$D$43,4,FALSE)/ROUNDUP(H41,-2),IF(K41="Round Down",I27/VLOOKUP(B41,Lists!$A$14:$D$43,4,FALSE)/ROUNDDOWN(H41,-2),I27/VLOOKUP(B41,Lists!$A$14:$D$43,4,FALSE)/H41)),"")</f>
        <v/>
      </c>
      <c r="J41" s="25" t="str">
        <f>IFERROR(VLOOKUP(B41,Lists!$A$14:$B$43,2,FALSE)-I41,"")</f>
        <v/>
      </c>
      <c r="K41" s="29"/>
    </row>
    <row r="42" spans="1:15" ht="15" hidden="1" x14ac:dyDescent="0.25">
      <c r="A42" s="30" t="str">
        <f t="shared" si="0"/>
        <v/>
      </c>
      <c r="B42" s="16"/>
      <c r="C42" s="23"/>
      <c r="D42" s="23"/>
      <c r="E42" s="7"/>
      <c r="F42" s="23"/>
      <c r="G42" s="31" t="str">
        <f>IF(AND(E42&gt;0),E42/SUM(E42:F42),"")</f>
        <v/>
      </c>
      <c r="H42" s="23" t="str">
        <f>IF(E42&lt;&gt;"",E42*5,"")</f>
        <v/>
      </c>
      <c r="I42" s="32" t="str">
        <f>IFERROR(IF(K42="Round Up",I28/VLOOKUP(B42,Lists!$A$14:$D$43,4,FALSE)/ROUNDUP(H42,-2),IF(K42="Round Down",I28/VLOOKUP(B42,Lists!$A$14:$D$43,4,FALSE)/ROUNDDOWN(H42,-2),I28/VLOOKUP(B42,Lists!$A$14:$D$43,4,FALSE)/H42)),"")</f>
        <v/>
      </c>
      <c r="J42" s="32" t="str">
        <f>IFERROR(VLOOKUP(B42,Lists!$A$14:$B$43,2,FALSE)-I42,"")</f>
        <v/>
      </c>
      <c r="K42" s="29"/>
      <c r="L42" s="5"/>
    </row>
    <row r="43" spans="1:15" ht="15" hidden="1" x14ac:dyDescent="0.25">
      <c r="A43" s="30" t="str">
        <f>IF(A29&lt;&gt;"",A29,"")</f>
        <v/>
      </c>
      <c r="B43" s="16"/>
      <c r="C43" s="23"/>
      <c r="D43" s="23"/>
      <c r="E43" s="23"/>
      <c r="F43" s="23"/>
      <c r="G43" s="31" t="str">
        <f>IF(AND(E43&gt;0),E43/SUM(E43:F43),"")</f>
        <v/>
      </c>
      <c r="H43" s="23" t="str">
        <f>IF(E43&lt;&gt;"",E43*5,"")</f>
        <v/>
      </c>
      <c r="I43" s="32" t="str">
        <f>IFERROR(IF(K43="Round Up",I29/VLOOKUP(B43,Lists!$A$14:$D$43,4,FALSE)/ROUNDUP(H43,-2),IF(K43="Round Down",I29/VLOOKUP(B43,Lists!$A$14:$D$43,4,FALSE)/ROUNDDOWN(H43,-2),I29/VLOOKUP(B43,Lists!$A$14:$D$43,4,FALSE)/H43)),"")</f>
        <v/>
      </c>
      <c r="J43" s="32" t="str">
        <f>IFERROR(VLOOKUP(B43,Lists!$A$14:$B$43,2,FALSE)-I43,"")</f>
        <v/>
      </c>
      <c r="K43" s="28"/>
      <c r="L43" s="5"/>
    </row>
    <row r="44" spans="1:15" ht="15" hidden="1" x14ac:dyDescent="0.25">
      <c r="A44" s="27" t="str">
        <f>IF(A30&lt;&gt;"",A30,"")</f>
        <v>Add_Lines_Here_Only</v>
      </c>
      <c r="B44" s="16"/>
      <c r="C44" s="7"/>
      <c r="D44" s="7"/>
      <c r="E44" s="7"/>
      <c r="F44" s="7"/>
      <c r="G44" s="9" t="str">
        <f t="shared" si="1"/>
        <v/>
      </c>
      <c r="H44" s="7" t="str">
        <f t="shared" si="2"/>
        <v/>
      </c>
      <c r="I44" s="25" t="str">
        <f>IFERROR(IF(K44="Round Up",I30/VLOOKUP(B44,Lists!$A$14:$D$43,4,FALSE)/ROUNDUP(H44,-2),IF(K44="Round Down",I30/VLOOKUP(B44,Lists!$A$14:$D$43,4,FALSE)/ROUNDDOWN(H44,-2),I30/VLOOKUP(B44,Lists!$A$14:$D$43,4,FALSE)/H44)),"")</f>
        <v/>
      </c>
      <c r="J44" s="25" t="str">
        <f>IFERROR(VLOOKUP(B44,Lists!$A$14:$B$43,2,FALSE)-I44,"")</f>
        <v/>
      </c>
      <c r="K44" s="29"/>
    </row>
    <row r="45" spans="1:15" ht="15" x14ac:dyDescent="0.25">
      <c r="E45" s="1"/>
      <c r="G45" s="1"/>
      <c r="H45" s="1"/>
    </row>
    <row r="46" spans="1:15" ht="15.75" customHeight="1" thickBot="1" x14ac:dyDescent="0.3">
      <c r="A46" s="114" t="s">
        <v>44</v>
      </c>
      <c r="B46" s="114"/>
      <c r="C46" s="114"/>
      <c r="D46" s="114"/>
      <c r="F46" s="114" t="s">
        <v>229</v>
      </c>
      <c r="G46" s="114"/>
      <c r="H46" s="114"/>
      <c r="I46" s="114"/>
      <c r="J46" s="114"/>
      <c r="K46" s="114"/>
      <c r="L46" s="114"/>
      <c r="M46" s="114"/>
      <c r="N46" s="88"/>
    </row>
    <row r="47" spans="1:15" ht="15.75" customHeight="1" x14ac:dyDescent="0.3">
      <c r="A47" s="115"/>
      <c r="B47" s="116"/>
      <c r="C47" s="116"/>
      <c r="D47" s="117"/>
      <c r="E47" s="13"/>
      <c r="F47" s="90" t="str">
        <f>IF(OR(SUM(Lists!$A$45:$C$45)=4,SUM(Lists!$A$45:$C$45)=9),"5' workflows",IF(OR(SUM(Lists!$A$45:$C$45)=5),"Barcoding Enzyme",IF(OR(SUM(Lists!$A$45:$C$45)=8,SUM(Lists!$A$45:$C$45)=6),"ATAC workflows","")))</f>
        <v/>
      </c>
      <c r="G47" s="91"/>
      <c r="H47" s="91"/>
      <c r="I47" s="91"/>
      <c r="J47" s="91"/>
      <c r="K47" s="92"/>
      <c r="L47" s="89"/>
      <c r="M47" s="89"/>
      <c r="N47" s="89"/>
      <c r="O47" s="89"/>
    </row>
    <row r="48" spans="1:15" ht="15.75" customHeight="1" x14ac:dyDescent="0.3">
      <c r="A48" s="118"/>
      <c r="B48" s="119"/>
      <c r="C48" s="119"/>
      <c r="D48" s="120"/>
      <c r="E48" s="13"/>
      <c r="F48" s="93"/>
      <c r="G48" s="94"/>
      <c r="H48" s="94"/>
      <c r="I48" s="94"/>
      <c r="J48" s="94"/>
      <c r="K48" s="95"/>
      <c r="L48" s="89"/>
      <c r="M48" s="89"/>
      <c r="N48" s="89"/>
      <c r="O48" s="89"/>
    </row>
    <row r="49" spans="1:15" ht="15.75" customHeight="1" x14ac:dyDescent="0.3">
      <c r="A49" s="118"/>
      <c r="B49" s="119"/>
      <c r="C49" s="119"/>
      <c r="D49" s="120"/>
      <c r="E49" s="13"/>
      <c r="F49" s="93"/>
      <c r="G49" s="94"/>
      <c r="H49" s="94"/>
      <c r="I49" s="94"/>
      <c r="J49" s="94"/>
      <c r="K49" s="95"/>
      <c r="L49" s="89"/>
      <c r="M49" s="89"/>
      <c r="N49" s="89"/>
      <c r="O49" s="89"/>
    </row>
    <row r="50" spans="1:15" ht="15.75" customHeight="1" x14ac:dyDescent="0.3">
      <c r="A50" s="118"/>
      <c r="B50" s="119"/>
      <c r="C50" s="119"/>
      <c r="D50" s="120"/>
      <c r="E50" s="13"/>
      <c r="F50" s="93"/>
      <c r="G50" s="94"/>
      <c r="H50" s="94"/>
      <c r="I50" s="94"/>
      <c r="J50" s="94"/>
      <c r="K50" s="95"/>
      <c r="L50" s="89"/>
      <c r="M50" s="89"/>
      <c r="N50" s="89"/>
      <c r="O50" s="89"/>
    </row>
    <row r="51" spans="1:15" ht="15.75" customHeight="1" x14ac:dyDescent="0.3">
      <c r="A51" s="118"/>
      <c r="B51" s="119"/>
      <c r="C51" s="119"/>
      <c r="D51" s="120"/>
      <c r="E51" s="13"/>
      <c r="F51" s="93"/>
      <c r="G51" s="94"/>
      <c r="H51" s="94"/>
      <c r="I51" s="94"/>
      <c r="J51" s="94"/>
      <c r="K51" s="95"/>
      <c r="L51" s="89"/>
      <c r="M51" s="89"/>
      <c r="N51" s="89"/>
      <c r="O51" s="89"/>
    </row>
    <row r="52" spans="1:15" ht="15.75" customHeight="1" thickBot="1" x14ac:dyDescent="0.35">
      <c r="A52" s="121"/>
      <c r="B52" s="122"/>
      <c r="C52" s="122"/>
      <c r="D52" s="123"/>
      <c r="F52" s="96"/>
      <c r="G52" s="97"/>
      <c r="H52" s="97"/>
      <c r="I52" s="97"/>
      <c r="J52" s="97"/>
      <c r="K52" s="98"/>
      <c r="L52" s="89"/>
      <c r="M52" s="89"/>
      <c r="N52" s="89"/>
      <c r="O52" s="89"/>
    </row>
    <row r="53" spans="1:15" ht="15.75" hidden="1" customHeight="1" x14ac:dyDescent="0.3">
      <c r="A53" s="24" t="b">
        <f>ISNUMBER(MATCH("3' Cell-Plexing v3.1",B34:B44,0))</f>
        <v>0</v>
      </c>
      <c r="C53" s="13"/>
      <c r="D53" s="13"/>
      <c r="E53" s="13"/>
      <c r="F53" s="89"/>
      <c r="G53" s="89"/>
      <c r="H53" s="89"/>
      <c r="I53" s="89"/>
      <c r="J53" s="89"/>
      <c r="K53" s="89"/>
      <c r="L53" s="89"/>
      <c r="M53" s="89"/>
      <c r="N53" s="89"/>
      <c r="O53" s="89"/>
    </row>
    <row r="54" spans="1:15" ht="15.75" hidden="1" customHeight="1" x14ac:dyDescent="0.3">
      <c r="A54" s="15" t="str">
        <f>IF($A$53=TRUE,"Cell Plexing Section - Initial QC"," ")</f>
        <v xml:space="preserve"> </v>
      </c>
      <c r="E54" s="15"/>
      <c r="F54" s="89"/>
      <c r="G54" s="89"/>
      <c r="H54" s="89"/>
      <c r="I54" s="89"/>
      <c r="J54" s="89"/>
      <c r="K54" s="89"/>
      <c r="L54" s="89"/>
      <c r="M54" s="89"/>
      <c r="N54" s="89"/>
      <c r="O54" s="89"/>
    </row>
    <row r="55" spans="1:15" ht="15.75" hidden="1" customHeight="1" x14ac:dyDescent="0.3">
      <c r="A55" s="15" t="str">
        <f>IF($A$53=TRUE,"Sample Name"," ")</f>
        <v xml:space="preserve"> </v>
      </c>
      <c r="B55" s="15" t="str">
        <f>IF($A$53=TRUE,"Live"," ")</f>
        <v xml:space="preserve"> </v>
      </c>
      <c r="C55" s="15" t="str">
        <f>IF($A$53=TRUE,"Dead"," ")</f>
        <v xml:space="preserve"> </v>
      </c>
      <c r="D55" s="15" t="str">
        <f>IF($A$53=TRUE,"Sample Viability"," ")</f>
        <v xml:space="preserve"> </v>
      </c>
      <c r="E55" s="15" t="str">
        <f>IF($A$53=TRUE,"PMGC Count"," ")</f>
        <v xml:space="preserve"> </v>
      </c>
      <c r="F55" s="89"/>
      <c r="G55" s="89"/>
      <c r="H55" s="89"/>
      <c r="I55" s="89"/>
      <c r="J55" s="89"/>
      <c r="K55" s="89"/>
      <c r="L55" s="89"/>
      <c r="M55" s="89"/>
      <c r="N55" s="89"/>
      <c r="O55" s="89"/>
    </row>
    <row r="56" spans="1:15" ht="15.75" hidden="1" customHeight="1" x14ac:dyDescent="0.3">
      <c r="A56" t="str">
        <f>IF($A$53=TRUE,A34,"")</f>
        <v/>
      </c>
      <c r="D56" s="22" t="str">
        <f t="shared" ref="D56:D63" si="3">IF(AND(B56&gt;0),B56/SUM(B56:C56),"")</f>
        <v/>
      </c>
      <c r="E56" t="str">
        <f t="shared" ref="E56:E63" si="4">IF(B56&lt;&gt;"",B56*5,"")</f>
        <v/>
      </c>
      <c r="F56" s="89"/>
      <c r="G56" s="89"/>
      <c r="H56" s="89"/>
      <c r="I56" s="89"/>
      <c r="J56" s="89"/>
      <c r="K56" s="89"/>
      <c r="L56" s="89"/>
      <c r="M56" s="89"/>
      <c r="N56" s="89"/>
      <c r="O56" s="89"/>
    </row>
    <row r="57" spans="1:15" ht="15.75" hidden="1" customHeight="1" x14ac:dyDescent="0.3">
      <c r="A57" t="str">
        <f t="shared" ref="A57:A63" si="5">IF($A$53=TRUE,A35,"")</f>
        <v/>
      </c>
      <c r="D57" s="22" t="str">
        <f t="shared" si="3"/>
        <v/>
      </c>
      <c r="E57" t="str">
        <f t="shared" si="4"/>
        <v/>
      </c>
      <c r="F57" s="89"/>
      <c r="G57" s="89"/>
      <c r="H57" s="89"/>
      <c r="I57" s="89"/>
      <c r="J57" s="89"/>
      <c r="K57" s="89"/>
      <c r="L57" s="89"/>
      <c r="M57" s="89"/>
      <c r="N57" s="89"/>
      <c r="O57" s="89"/>
    </row>
    <row r="58" spans="1:15" ht="15.75" hidden="1" customHeight="1" x14ac:dyDescent="0.3">
      <c r="A58" t="str">
        <f t="shared" si="5"/>
        <v/>
      </c>
      <c r="D58" s="22" t="str">
        <f t="shared" si="3"/>
        <v/>
      </c>
      <c r="E58" t="str">
        <f t="shared" si="4"/>
        <v/>
      </c>
      <c r="F58" s="89"/>
      <c r="G58" s="89"/>
      <c r="H58" s="89"/>
      <c r="I58" s="89"/>
      <c r="J58" s="89"/>
      <c r="K58" s="89"/>
      <c r="L58" s="89"/>
      <c r="M58" s="89"/>
      <c r="N58" s="89"/>
      <c r="O58" s="89"/>
    </row>
    <row r="59" spans="1:15" ht="15.75" hidden="1" customHeight="1" x14ac:dyDescent="0.3">
      <c r="A59" t="str">
        <f t="shared" si="5"/>
        <v/>
      </c>
      <c r="D59" s="22" t="str">
        <f t="shared" si="3"/>
        <v/>
      </c>
      <c r="E59" t="str">
        <f t="shared" si="4"/>
        <v/>
      </c>
      <c r="F59" s="89"/>
      <c r="G59" s="89"/>
      <c r="H59" s="89"/>
      <c r="I59" s="89"/>
      <c r="J59" s="89"/>
      <c r="K59" s="89"/>
      <c r="L59" s="89"/>
      <c r="M59" s="89"/>
      <c r="N59" s="89"/>
      <c r="O59" s="89"/>
    </row>
    <row r="60" spans="1:15" ht="15.75" hidden="1" customHeight="1" x14ac:dyDescent="0.3">
      <c r="A60" t="str">
        <f t="shared" si="5"/>
        <v/>
      </c>
      <c r="D60" s="22" t="str">
        <f t="shared" si="3"/>
        <v/>
      </c>
      <c r="E60" t="str">
        <f t="shared" si="4"/>
        <v/>
      </c>
      <c r="F60" s="89"/>
      <c r="G60" s="89"/>
      <c r="H60" s="89"/>
      <c r="I60" s="89"/>
      <c r="J60" s="89"/>
      <c r="K60" s="89"/>
      <c r="L60" s="89"/>
      <c r="M60" s="89"/>
      <c r="N60" s="89"/>
      <c r="O60" s="89"/>
    </row>
    <row r="61" spans="1:15" ht="15.75" hidden="1" customHeight="1" x14ac:dyDescent="0.3">
      <c r="A61" t="str">
        <f t="shared" si="5"/>
        <v/>
      </c>
      <c r="D61" s="22" t="str">
        <f t="shared" si="3"/>
        <v/>
      </c>
      <c r="E61" t="str">
        <f t="shared" si="4"/>
        <v/>
      </c>
      <c r="F61" s="89"/>
      <c r="G61" s="89"/>
      <c r="H61" s="89"/>
      <c r="I61" s="89"/>
      <c r="J61" s="89"/>
      <c r="K61" s="89"/>
      <c r="L61" s="89"/>
      <c r="M61" s="89"/>
      <c r="N61" s="89"/>
      <c r="O61" s="89"/>
    </row>
    <row r="62" spans="1:15" ht="15.75" hidden="1" customHeight="1" x14ac:dyDescent="0.3">
      <c r="A62" t="str">
        <f t="shared" si="5"/>
        <v/>
      </c>
      <c r="D62" s="22" t="str">
        <f t="shared" si="3"/>
        <v/>
      </c>
      <c r="E62" t="str">
        <f t="shared" si="4"/>
        <v/>
      </c>
      <c r="F62" s="89"/>
      <c r="G62" s="89"/>
      <c r="H62" s="89"/>
      <c r="I62" s="89"/>
      <c r="J62" s="89"/>
      <c r="K62" s="89"/>
      <c r="L62" s="89"/>
      <c r="M62" s="89"/>
      <c r="N62" s="89"/>
      <c r="O62" s="89"/>
    </row>
    <row r="63" spans="1:15" ht="15.75" hidden="1" customHeight="1" x14ac:dyDescent="0.3">
      <c r="A63" t="str">
        <f t="shared" si="5"/>
        <v/>
      </c>
      <c r="D63" s="22" t="str">
        <f t="shared" si="3"/>
        <v/>
      </c>
      <c r="E63" t="str">
        <f t="shared" si="4"/>
        <v/>
      </c>
      <c r="F63" s="89"/>
      <c r="G63" s="89"/>
      <c r="H63" s="89"/>
      <c r="I63" s="89"/>
      <c r="J63" s="89"/>
      <c r="K63" s="89"/>
      <c r="L63" s="89"/>
      <c r="M63" s="89"/>
      <c r="N63" s="89"/>
      <c r="O63" s="89"/>
    </row>
    <row r="64" spans="1:15" ht="15.75" hidden="1" customHeight="1" x14ac:dyDescent="0.3">
      <c r="F64" s="89"/>
      <c r="G64" s="89"/>
      <c r="H64" s="89"/>
      <c r="I64" s="89"/>
      <c r="J64" s="89"/>
      <c r="K64" s="89"/>
      <c r="L64" s="89"/>
      <c r="M64" s="89"/>
      <c r="N64" s="89"/>
      <c r="O64" s="89"/>
    </row>
    <row r="65" spans="1:15" ht="15.75" hidden="1" customHeight="1" x14ac:dyDescent="0.3">
      <c r="F65" s="89"/>
      <c r="G65" s="89"/>
      <c r="H65" s="89"/>
      <c r="I65" s="89"/>
      <c r="J65" s="89"/>
      <c r="K65" s="89"/>
      <c r="L65" s="89"/>
      <c r="M65" s="89"/>
      <c r="N65" s="89"/>
      <c r="O65" s="89"/>
    </row>
    <row r="66" spans="1:15" ht="15.75" hidden="1" customHeight="1" x14ac:dyDescent="0.3">
      <c r="A66" s="15" t="str">
        <f>IF($A$53=TRUE,"Cell Plexing Section - Post Oligo Washing"," ")</f>
        <v xml:space="preserve"> </v>
      </c>
      <c r="F66" s="89"/>
      <c r="G66" s="89"/>
      <c r="H66" s="89"/>
      <c r="I66" s="89"/>
      <c r="J66" s="89"/>
      <c r="K66" s="89"/>
      <c r="L66" s="89"/>
      <c r="M66" s="89"/>
      <c r="N66" s="89"/>
      <c r="O66" s="89"/>
    </row>
    <row r="67" spans="1:15" ht="15.75" hidden="1" customHeight="1" x14ac:dyDescent="0.3">
      <c r="A67" s="15" t="str">
        <f>IF($A$53=TRUE,"Sample Name"," ")</f>
        <v xml:space="preserve"> </v>
      </c>
      <c r="B67" s="15" t="str">
        <f>IF($A$53=TRUE,"CMO ID"," ")</f>
        <v xml:space="preserve"> </v>
      </c>
      <c r="C67" s="15" t="str">
        <f>IF($A$53=TRUE,"ul to Pool"," ")</f>
        <v xml:space="preserve"> </v>
      </c>
      <c r="D67" s="15" t="str">
        <f>IF($A$53=TRUE,"Pool Name"," ")</f>
        <v xml:space="preserve"> </v>
      </c>
      <c r="F67" s="89"/>
      <c r="G67" s="89"/>
      <c r="H67" s="89"/>
      <c r="I67" s="89"/>
      <c r="J67" s="89"/>
      <c r="K67" s="89"/>
      <c r="L67" s="89"/>
      <c r="M67" s="89"/>
      <c r="N67" s="89"/>
      <c r="O67" s="89"/>
    </row>
    <row r="68" spans="1:15" ht="15.75" hidden="1" customHeight="1" x14ac:dyDescent="0.3">
      <c r="A68" t="str">
        <f>IF($A$53=TRUE,A34,"")</f>
        <v/>
      </c>
      <c r="B68" s="12"/>
      <c r="F68" s="89"/>
      <c r="G68" s="89"/>
      <c r="H68" s="89"/>
      <c r="I68" s="89"/>
      <c r="J68" s="89"/>
      <c r="K68" s="89"/>
      <c r="L68" s="89"/>
      <c r="M68" s="89"/>
      <c r="N68" s="89"/>
      <c r="O68" s="89"/>
    </row>
    <row r="69" spans="1:15" ht="15.75" hidden="1" customHeight="1" x14ac:dyDescent="0.3">
      <c r="A69" t="str">
        <f t="shared" ref="A69:A75" si="6">IF($A$53=TRUE,A35,"")</f>
        <v/>
      </c>
      <c r="B69" s="12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1:15" ht="15.75" hidden="1" customHeight="1" x14ac:dyDescent="0.3">
      <c r="A70" t="str">
        <f t="shared" si="6"/>
        <v/>
      </c>
      <c r="B70" s="12"/>
      <c r="F70" s="89"/>
      <c r="G70" s="89"/>
      <c r="H70" s="89"/>
      <c r="I70" s="89"/>
      <c r="J70" s="89"/>
      <c r="K70" s="89"/>
      <c r="L70" s="89"/>
      <c r="M70" s="89"/>
      <c r="N70" s="89"/>
      <c r="O70" s="89"/>
    </row>
    <row r="71" spans="1:15" ht="15.75" hidden="1" customHeight="1" x14ac:dyDescent="0.3">
      <c r="A71" t="str">
        <f t="shared" si="6"/>
        <v/>
      </c>
      <c r="B71" s="12"/>
      <c r="F71" s="89"/>
      <c r="G71" s="89"/>
      <c r="H71" s="89"/>
      <c r="I71" s="89"/>
      <c r="J71" s="89"/>
      <c r="K71" s="89"/>
      <c r="L71" s="89"/>
      <c r="M71" s="89"/>
      <c r="N71" s="89"/>
      <c r="O71" s="89"/>
    </row>
    <row r="72" spans="1:15" ht="15.75" hidden="1" customHeight="1" x14ac:dyDescent="0.3">
      <c r="A72" t="str">
        <f t="shared" si="6"/>
        <v/>
      </c>
      <c r="B72" s="12"/>
      <c r="C72" s="15"/>
      <c r="F72" s="89"/>
      <c r="G72" s="89"/>
      <c r="H72" s="89"/>
      <c r="I72" s="89"/>
      <c r="J72" s="89"/>
      <c r="K72" s="89"/>
      <c r="L72" s="89"/>
      <c r="M72" s="89"/>
      <c r="N72" s="89"/>
      <c r="O72" s="89"/>
    </row>
    <row r="73" spans="1:15" ht="15.75" hidden="1" customHeight="1" x14ac:dyDescent="0.3">
      <c r="A73" t="str">
        <f t="shared" si="6"/>
        <v/>
      </c>
      <c r="B73" s="12"/>
      <c r="C73" s="15"/>
      <c r="F73" s="89"/>
      <c r="G73" s="89"/>
      <c r="H73" s="89"/>
      <c r="I73" s="89"/>
      <c r="J73" s="89"/>
      <c r="K73" s="89"/>
      <c r="L73" s="89"/>
      <c r="M73" s="89"/>
      <c r="N73" s="89"/>
      <c r="O73" s="89"/>
    </row>
    <row r="74" spans="1:15" ht="15.75" hidden="1" customHeight="1" x14ac:dyDescent="0.3">
      <c r="A74" t="str">
        <f t="shared" si="6"/>
        <v/>
      </c>
      <c r="B74" s="12"/>
      <c r="F74" s="89"/>
      <c r="G74" s="89"/>
      <c r="H74" s="89"/>
      <c r="I74" s="89"/>
      <c r="J74" s="89"/>
      <c r="K74" s="89"/>
      <c r="L74" s="89"/>
      <c r="M74" s="89"/>
      <c r="N74" s="89"/>
      <c r="O74" s="89"/>
    </row>
    <row r="75" spans="1:15" ht="15.75" hidden="1" customHeight="1" x14ac:dyDescent="0.3">
      <c r="A75" t="str">
        <f t="shared" si="6"/>
        <v/>
      </c>
      <c r="B75" s="12"/>
      <c r="F75" s="89"/>
      <c r="G75" s="89"/>
      <c r="H75" s="89"/>
      <c r="I75" s="89"/>
      <c r="J75" s="89"/>
      <c r="K75" s="89"/>
      <c r="L75" s="89"/>
      <c r="M75" s="89"/>
      <c r="N75" s="89"/>
      <c r="O75" s="89"/>
    </row>
    <row r="76" spans="1:15" ht="15.75" hidden="1" customHeight="1" x14ac:dyDescent="0.3">
      <c r="F76" s="89"/>
      <c r="G76" s="89"/>
      <c r="H76" s="89"/>
      <c r="I76" s="89"/>
      <c r="J76" s="89"/>
      <c r="K76" s="89"/>
      <c r="L76" s="89"/>
      <c r="M76" s="89"/>
      <c r="N76" s="89"/>
      <c r="O76" s="89"/>
    </row>
    <row r="77" spans="1:15" ht="15.75" customHeight="1" x14ac:dyDescent="0.3">
      <c r="F77" s="89"/>
      <c r="G77" s="89"/>
      <c r="H77" s="89"/>
      <c r="I77" s="89"/>
      <c r="J77" s="89"/>
      <c r="K77" s="89"/>
      <c r="L77" s="89"/>
      <c r="M77" s="89"/>
      <c r="N77" s="89"/>
      <c r="O77" s="89"/>
    </row>
    <row r="78" spans="1:15" ht="15.75" customHeight="1" thickBot="1" x14ac:dyDescent="0.35">
      <c r="A78" s="104" t="s">
        <v>228</v>
      </c>
      <c r="B78" s="104"/>
      <c r="C78" s="104"/>
      <c r="D78" s="104"/>
      <c r="F78" s="89"/>
      <c r="G78" s="89"/>
      <c r="H78" s="89"/>
      <c r="I78" s="89"/>
      <c r="J78" s="89"/>
      <c r="K78" s="89"/>
      <c r="L78" s="89"/>
      <c r="M78" s="89"/>
      <c r="N78" s="89"/>
      <c r="O78" s="89"/>
    </row>
    <row r="79" spans="1:15" ht="15.75" customHeight="1" x14ac:dyDescent="0.3">
      <c r="A79" s="105"/>
      <c r="B79" s="106"/>
      <c r="C79" s="106"/>
      <c r="D79" s="107"/>
      <c r="F79" s="89"/>
      <c r="G79" s="89"/>
      <c r="H79" s="89"/>
      <c r="I79" s="89"/>
      <c r="J79" s="89"/>
      <c r="K79" s="89"/>
      <c r="L79" s="89"/>
      <c r="M79" s="89"/>
      <c r="N79" s="89"/>
      <c r="O79" s="89"/>
    </row>
    <row r="80" spans="1:15" ht="15.75" customHeight="1" x14ac:dyDescent="0.3">
      <c r="A80" s="108"/>
      <c r="B80" s="109"/>
      <c r="C80" s="109"/>
      <c r="D80" s="110"/>
      <c r="F80" s="89"/>
      <c r="G80" s="89"/>
      <c r="H80" s="89"/>
      <c r="I80" s="89"/>
      <c r="J80" s="89"/>
      <c r="K80" s="89"/>
      <c r="L80" s="89"/>
      <c r="M80" s="89"/>
      <c r="N80" s="89"/>
      <c r="O80" s="89"/>
    </row>
    <row r="81" spans="1:15" ht="15.75" customHeight="1" x14ac:dyDescent="0.3">
      <c r="A81" s="108"/>
      <c r="B81" s="109"/>
      <c r="C81" s="109"/>
      <c r="D81" s="110"/>
      <c r="F81" s="89"/>
      <c r="G81" s="89"/>
      <c r="H81" s="89"/>
      <c r="I81" s="89"/>
      <c r="J81" s="89"/>
      <c r="K81" s="89"/>
      <c r="L81" s="89"/>
      <c r="M81" s="89"/>
      <c r="N81" s="89"/>
      <c r="O81" s="89"/>
    </row>
    <row r="82" spans="1:15" ht="15.75" customHeight="1" x14ac:dyDescent="0.3">
      <c r="A82" s="108"/>
      <c r="B82" s="109"/>
      <c r="C82" s="109"/>
      <c r="D82" s="110"/>
      <c r="F82" s="89"/>
      <c r="G82" s="89"/>
      <c r="H82" s="89"/>
      <c r="I82" s="89"/>
      <c r="J82" s="89"/>
      <c r="K82" s="89"/>
      <c r="L82" s="89"/>
      <c r="M82" s="89"/>
      <c r="N82" s="89"/>
      <c r="O82" s="89"/>
    </row>
    <row r="83" spans="1:15" ht="15.75" customHeight="1" x14ac:dyDescent="0.25">
      <c r="A83" s="108"/>
      <c r="B83" s="109"/>
      <c r="C83" s="109"/>
      <c r="D83" s="110"/>
    </row>
    <row r="84" spans="1:15" ht="15.75" customHeight="1" thickBot="1" x14ac:dyDescent="0.3">
      <c r="A84" s="111"/>
      <c r="B84" s="112"/>
      <c r="C84" s="112"/>
      <c r="D84" s="113"/>
    </row>
  </sheetData>
  <dataConsolidate/>
  <mergeCells count="6">
    <mergeCell ref="A78:D78"/>
    <mergeCell ref="A79:D84"/>
    <mergeCell ref="F46:I46"/>
    <mergeCell ref="J46:M46"/>
    <mergeCell ref="A47:D52"/>
    <mergeCell ref="A46:D46"/>
  </mergeCells>
  <conditionalFormatting sqref="A11">
    <cfRule type="expression" dxfId="96" priority="43">
      <formula>B10&lt;&gt;"Other"</formula>
    </cfRule>
  </conditionalFormatting>
  <conditionalFormatting sqref="A17">
    <cfRule type="expression" dxfId="95" priority="21">
      <formula>IF($B$15="Single Cells",TRUE,FALSE)</formula>
    </cfRule>
  </conditionalFormatting>
  <conditionalFormatting sqref="A55:E63 A67:D75">
    <cfRule type="expression" dxfId="94" priority="94">
      <formula>IF($A$53=TRUE,TRUE,FALSE)</formula>
    </cfRule>
  </conditionalFormatting>
  <conditionalFormatting sqref="B17">
    <cfRule type="expression" dxfId="93" priority="20">
      <formula>IF($B$15="Single Cells",TRUE,FALSE)</formula>
    </cfRule>
  </conditionalFormatting>
  <conditionalFormatting sqref="D16">
    <cfRule type="expression" dxfId="92" priority="17">
      <formula>IF($E$15="Yes",TRUE,FALSE)</formula>
    </cfRule>
  </conditionalFormatting>
  <conditionalFormatting sqref="D56:D63">
    <cfRule type="cellIs" dxfId="91" priority="30" operator="lessThanOrEqual">
      <formula>0.9</formula>
    </cfRule>
  </conditionalFormatting>
  <conditionalFormatting sqref="E16">
    <cfRule type="expression" dxfId="90" priority="16">
      <formula>IF($E$15="Yes",TRUE,FALSE)</formula>
    </cfRule>
  </conditionalFormatting>
  <conditionalFormatting sqref="F16:F17 D17">
    <cfRule type="expression" dxfId="89" priority="14">
      <formula>IF(OR($E$16="Hashtagging/CITE-seq: My samples have been tagged and already pooled",$D$17="CITE-seq: My samples have been tagged and require PMGC to pool",$E$16="CITE-seq: My samples have been tagged and already pooled",$E$16="CITE-seq: My samples have been tagged and already pooled",$E$16="Hashtagging/CITE-seq: My samples have been tagged and require PMGC to pool",$E$17="Hashtagging/CITE-seq: My samples have been tagged and already pooled"),TRUE,FALSE)</formula>
    </cfRule>
  </conditionalFormatting>
  <conditionalFormatting sqref="G16:G17 E17">
    <cfRule type="expression" dxfId="88" priority="13">
      <formula>IF(OR($E$16="Hashtagging/CITE-seq: My samples have been tagged and already pooled",$D$17="CITE-seq: My samples have been tagged and require PMGC to pool",$E$16="CITE-seq: My samples have been tagged and already pooled",$E$16="CITE-seq: My samples have been tagged and already pooled",$E$16="Hashtagging/CITE-seq: My samples have been tagged and require PMGC to pool",$E$17="Hashtagging/CITE-seq: My samples have been tagged and already pooled"),TRUE,FALSE)</formula>
    </cfRule>
  </conditionalFormatting>
  <conditionalFormatting sqref="G34:G44">
    <cfRule type="cellIs" dxfId="87" priority="47" operator="between">
      <formula>0.0000001</formula>
      <formula>0.8</formula>
    </cfRule>
  </conditionalFormatting>
  <conditionalFormatting sqref="H17">
    <cfRule type="expression" dxfId="86" priority="11">
      <formula>IF(OR($E$16="Hashtagging/CITE-seq: My samples have been tagged and already pooled",$D$17="CITE-seq: My samples have been tagged and require PMGC to pool",$E$16="CITE-seq: My samples have been tagged and already pooled",$E$16="CITE-seq: My samples have been tagged and already pooled",$E$16="Hashtagging/CITE-seq: My samples have been tagged and require PMGC to pool",$E$17="Hashtagging/CITE-seq: My samples have been tagged and already pooled"),TRUE,FALSE)</formula>
    </cfRule>
  </conditionalFormatting>
  <conditionalFormatting sqref="I34:I44">
    <cfRule type="cellIs" dxfId="85" priority="25" operator="greaterThan">
      <formula>2</formula>
    </cfRule>
    <cfRule type="cellIs" dxfId="84" priority="41" operator="lessThan">
      <formula>2</formula>
    </cfRule>
  </conditionalFormatting>
  <conditionalFormatting sqref="J34:J44">
    <cfRule type="cellIs" dxfId="83" priority="24" operator="greaterThan">
      <formula>0</formula>
    </cfRule>
    <cfRule type="cellIs" dxfId="82" priority="42" operator="lessThan">
      <formula>0</formula>
    </cfRule>
  </conditionalFormatting>
  <conditionalFormatting sqref="N19:O19">
    <cfRule type="expression" dxfId="81" priority="35">
      <formula>IF($B$15="Tissue",TRUE,FALSE)</formula>
    </cfRule>
  </conditionalFormatting>
  <conditionalFormatting sqref="N20:O30">
    <cfRule type="expression" dxfId="80" priority="34">
      <formula>IF($B$15="Tissue",TRUE,FALSE)</formula>
    </cfRule>
  </conditionalFormatting>
  <dataValidations count="15">
    <dataValidation type="whole" allowBlank="1" showInputMessage="1" showErrorMessage="1" sqref="I20:I30" xr:uid="{00000000-0002-0000-0000-000000000000}">
      <formula1>1</formula1>
      <formula2>30000</formula2>
    </dataValidation>
    <dataValidation type="list" allowBlank="1" showInputMessage="1" showErrorMessage="1" sqref="B34:B44" xr:uid="{00000000-0002-0000-0000-000001000000}">
      <formula1>IF($B$15="Tissue for Nuc-Seq",NucseqNextGEM,NextGEM)</formula1>
    </dataValidation>
    <dataValidation allowBlank="1" showErrorMessage="1" promptTitle="Tissue Submissions Only" prompt="Indicate your preference for the orientation of the tissue to be sliced." sqref="O20:O30" xr:uid="{00000000-0002-0000-0000-000002000000}"/>
    <dataValidation allowBlank="1" showInputMessage="1" showErrorMessage="1" prompt="1 = Poor_x000a_3 = Excellent" sqref="D34:D44" xr:uid="{00000000-0002-0000-0000-000003000000}"/>
    <dataValidation type="decimal" operator="lessThanOrEqual" allowBlank="1" showErrorMessage="1" errorTitle="Viability Too Low" error="Viability is less than 90% initial concentration. Do not proceed with cell multiplexing." sqref="D56:D63" xr:uid="{00000000-0002-0000-0000-000004000000}">
      <formula1>90</formula1>
    </dataValidation>
    <dataValidation type="custom" allowBlank="1" showInputMessage="1" showErrorMessage="1" errorTitle="Character Limit Reached!" error="Bioinformatics piplines cannot process samples with long names or special characters. Please remove spaces and special characters from text (Max Character Limit: 25)" sqref="A20:A30" xr:uid="{00000000-0002-0000-0000-000005000000}">
      <formula1>AND(ISNUMBER(SUMPRODUCT(SEARCH(MID(A20,ROW(INDIRECT("1:"&amp;LEN(A20))),1),"0123456789abcdefghijklmnopqrstuvwxyzABCDEFGHIJKLMNOPQRSTUVWXYZ-_"))),LEN(A20)&lt;25)</formula1>
    </dataValidation>
    <dataValidation type="list" allowBlank="1" showInputMessage="1" showErrorMessage="1" sqref="E17" xr:uid="{00000000-0002-0000-0000-000006000000}">
      <formula1>IF($B$16="3' Gene Expression v3.1",CiteSeq3pr,CiteSeq5pr)</formula1>
    </dataValidation>
    <dataValidation type="list" allowBlank="1" showInputMessage="1" showErrorMessage="1" sqref="G16" xr:uid="{00000000-0002-0000-0000-000007000000}">
      <formula1>HTCiteseqOptions</formula1>
    </dataValidation>
    <dataValidation allowBlank="1" showInputMessage="1" showErrorMessage="1" promptTitle="How many reads per cell/nuclei?" prompt="Standard sequencing at PMGC is 50,000 reads per cell or nuclei." sqref="J20:J30" xr:uid="{00000000-0002-0000-0000-000008000000}"/>
    <dataValidation allowBlank="1" showErrorMessage="1" promptTitle="On-going Project or New Project?" prompt="_x000a_For any new project, 10X Genomics recommends using the latest Cell Ranger Pipeline version for general improvements and bug fixes. _x000a__x000a_For on-going projects, we will continue with the same version to a previous submission to PMGC 10X Fresh Cell Team." sqref="E6" xr:uid="{00000000-0002-0000-0000-000009000000}"/>
    <dataValidation allowBlank="1" showInputMessage="1" showErrorMessage="1" sqref="C34:C44 N20:N30 H20:H30 F21:F30" xr:uid="{00000000-0002-0000-0000-00000A000000}"/>
    <dataValidation allowBlank="1" showInputMessage="1" showErrorMessage="1" prompt="Only used for immediate decisons to be made during PMGC sample processing if email reponse is delayed." sqref="E7" xr:uid="{00000000-0002-0000-0000-00000B000000}"/>
    <dataValidation allowBlank="1" showInputMessage="1" showErrorMessage="1" prompt="For alternative name you would like your sample to be labeled as (for easier data analysis/pipelines processing), please indicate below. Otherwise, just copy over your sample tube label (please omit spaces, using only alphanumeric, _ or -)" sqref="B19" xr:uid="{00000000-0002-0000-0000-00000C000000}"/>
    <dataValidation type="custom" allowBlank="1" showInputMessage="1" showErrorMessage="1" errorTitle="Character Limit Reached!" error="Bioinformatics piplines cannot process samples with long names or special characters. Please remove spaces and special characters from text (Max Character Limit: 25)" prompt="For alternative name you would like your sample to be labeled as (for easier data analysis/pipelines processing), please indicate below. Otherwise, just copy over your sample tube label (please omit spaces, using only alphanumeric, _ or -)" sqref="B20:B30" xr:uid="{00000000-0002-0000-0000-00000D000000}">
      <formula1>AND(ISNUMBER(SUMPRODUCT(SEARCH(MID(B20,ROW(INDIRECT("1:"&amp;LEN(B20))),1),"0123456789abcdefghijklmnopqrstuvwxyzABCDEFGHIJKLMNOPQRSTUVWXYZ-_"))),LEN(B20)&lt;25)</formula1>
    </dataValidation>
    <dataValidation type="list" allowBlank="1" showInputMessage="1" showErrorMessage="1" sqref="F20 K20:K30" xr:uid="{00000000-0002-0000-0000-00000E000000}">
      <formula1>banana</formula1>
    </dataValidation>
  </dataValidations>
  <pageMargins left="0.7" right="0.7" top="0.75" bottom="0.75" header="0.3" footer="0.3"/>
  <pageSetup scale="32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F000000}">
          <x14:formula1>
            <xm:f>Lists!$A$1:$A$3</xm:f>
          </x14:formula1>
          <xm:sqref>K34:K44</xm:sqref>
        </x14:dataValidation>
        <x14:dataValidation type="list" allowBlank="1" showInputMessage="1" showErrorMessage="1" xr:uid="{00000000-0002-0000-0000-000010000000}">
          <x14:formula1>
            <xm:f>Lists_New!$E$3:$E$5</xm:f>
          </x14:formula1>
          <xm:sqref>E16</xm:sqref>
        </x14:dataValidation>
        <x14:dataValidation type="list" allowBlank="1" showInputMessage="1" showErrorMessage="1" xr:uid="{00000000-0002-0000-0000-000011000000}">
          <x14:formula1>
            <xm:f>Lists!$J$1:$J$14</xm:f>
          </x14:formula1>
          <xm:sqref>B17</xm:sqref>
        </x14:dataValidation>
        <x14:dataValidation type="list" allowBlank="1" showInputMessage="1" showErrorMessage="1" xr:uid="{00000000-0002-0000-0000-000012000000}">
          <x14:formula1>
            <xm:f>Lists!$C$1:$C$6</xm:f>
          </x14:formula1>
          <xm:sqref>B10</xm:sqref>
        </x14:dataValidation>
        <x14:dataValidation type="list" allowBlank="1" showInputMessage="1" showErrorMessage="1" xr:uid="{00000000-0002-0000-0000-000013000000}">
          <x14:formula1>
            <xm:f>Lists_New!$A$16:$A$21</xm:f>
          </x14:formula1>
          <xm:sqref>C20:C30</xm:sqref>
        </x14:dataValidation>
        <x14:dataValidation type="list" allowBlank="1" showErrorMessage="1" xr:uid="{00000000-0002-0000-0000-000014000000}">
          <x14:formula1>
            <xm:f>Lists!$B$1:$B$3</xm:f>
          </x14:formula1>
          <xm:sqref>B15</xm:sqref>
        </x14:dataValidation>
        <x14:dataValidation type="list" allowBlank="1" showInputMessage="1" showErrorMessage="1" xr:uid="{00000000-0002-0000-0000-000015000000}">
          <x14:formula1>
            <xm:f>IF($B$15="Single Cells",Lists_New!$A$11:$A$13,Lists_New!$A$8:$A$13)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zoomScale="85" workbookViewId="0">
      <selection activeCell="A10" sqref="A10"/>
    </sheetView>
  </sheetViews>
  <sheetFormatPr defaultColWidth="8.88671875" defaultRowHeight="13.2" x14ac:dyDescent="0.25"/>
  <cols>
    <col min="3" max="3" width="34.109375" customWidth="1"/>
    <col min="4" max="4" width="28" bestFit="1" customWidth="1"/>
    <col min="5" max="5" width="19.88671875" bestFit="1" customWidth="1"/>
    <col min="6" max="7" width="16.33203125" bestFit="1" customWidth="1"/>
    <col min="10" max="10" width="28.44140625" customWidth="1"/>
  </cols>
  <sheetData>
    <row r="1" spans="1:9" x14ac:dyDescent="0.25">
      <c r="A1" s="5" t="s">
        <v>45</v>
      </c>
      <c r="B1" s="5" t="s">
        <v>46</v>
      </c>
      <c r="C1" s="5" t="s">
        <v>47</v>
      </c>
      <c r="D1" s="5" t="s">
        <v>48</v>
      </c>
      <c r="E1" s="5" t="s">
        <v>49</v>
      </c>
      <c r="F1" t="s">
        <v>2</v>
      </c>
    </row>
    <row r="2" spans="1:9" x14ac:dyDescent="0.25">
      <c r="A2" t="s">
        <v>50</v>
      </c>
      <c r="B2" t="s">
        <v>50</v>
      </c>
      <c r="C2" t="s">
        <v>2</v>
      </c>
      <c r="D2" t="s">
        <v>51</v>
      </c>
      <c r="E2" s="5" t="s">
        <v>52</v>
      </c>
      <c r="F2" s="5" t="s">
        <v>53</v>
      </c>
      <c r="G2" s="5" t="s">
        <v>54</v>
      </c>
      <c r="I2" t="s">
        <v>55</v>
      </c>
    </row>
    <row r="3" spans="1:9" x14ac:dyDescent="0.25">
      <c r="A3" t="s">
        <v>19</v>
      </c>
      <c r="B3" t="s">
        <v>19</v>
      </c>
      <c r="C3" t="s">
        <v>51</v>
      </c>
      <c r="D3" t="s">
        <v>56</v>
      </c>
      <c r="E3" s="5" t="s">
        <v>57</v>
      </c>
      <c r="F3" s="5" t="s">
        <v>58</v>
      </c>
      <c r="G3" s="5" t="s">
        <v>59</v>
      </c>
      <c r="I3" t="s">
        <v>60</v>
      </c>
    </row>
    <row r="4" spans="1:9" x14ac:dyDescent="0.25">
      <c r="C4" t="s">
        <v>56</v>
      </c>
      <c r="D4" t="s">
        <v>61</v>
      </c>
      <c r="E4" s="5" t="s">
        <v>62</v>
      </c>
      <c r="F4" s="5" t="s">
        <v>63</v>
      </c>
      <c r="G4" s="5" t="s">
        <v>64</v>
      </c>
      <c r="H4" s="5"/>
      <c r="I4" s="5"/>
    </row>
    <row r="5" spans="1:9" x14ac:dyDescent="0.25">
      <c r="C5" t="s">
        <v>61</v>
      </c>
      <c r="E5" t="s">
        <v>2</v>
      </c>
      <c r="F5" t="s">
        <v>2</v>
      </c>
      <c r="G5" t="s">
        <v>2</v>
      </c>
      <c r="H5" s="5"/>
      <c r="I5" s="5"/>
    </row>
    <row r="6" spans="1:9" x14ac:dyDescent="0.25">
      <c r="A6" t="s">
        <v>65</v>
      </c>
      <c r="C6" s="5" t="s">
        <v>66</v>
      </c>
    </row>
    <row r="7" spans="1:9" x14ac:dyDescent="0.25">
      <c r="A7" t="s">
        <v>2</v>
      </c>
    </row>
    <row r="8" spans="1:9" x14ac:dyDescent="0.25">
      <c r="A8" t="s">
        <v>67</v>
      </c>
    </row>
    <row r="9" spans="1:9" x14ac:dyDescent="0.25">
      <c r="A9" t="s">
        <v>231</v>
      </c>
    </row>
    <row r="10" spans="1:9" x14ac:dyDescent="0.25">
      <c r="A10" t="s">
        <v>68</v>
      </c>
    </row>
    <row r="11" spans="1:9" x14ac:dyDescent="0.25">
      <c r="A11" t="s">
        <v>219</v>
      </c>
    </row>
    <row r="12" spans="1:9" x14ac:dyDescent="0.25">
      <c r="A12" t="s">
        <v>218</v>
      </c>
    </row>
    <row r="13" spans="1:9" x14ac:dyDescent="0.25">
      <c r="A13" t="s">
        <v>2</v>
      </c>
    </row>
    <row r="16" spans="1:9" x14ac:dyDescent="0.25">
      <c r="A16" s="5" t="s">
        <v>2</v>
      </c>
    </row>
    <row r="17" spans="1:1" x14ac:dyDescent="0.25">
      <c r="A17" s="5" t="s">
        <v>129</v>
      </c>
    </row>
    <row r="18" spans="1:1" x14ac:dyDescent="0.25">
      <c r="A18" s="5" t="s">
        <v>222</v>
      </c>
    </row>
    <row r="19" spans="1:1" x14ac:dyDescent="0.25">
      <c r="A19" s="5" t="s">
        <v>223</v>
      </c>
    </row>
    <row r="20" spans="1:1" x14ac:dyDescent="0.25">
      <c r="A20" s="5" t="s">
        <v>139</v>
      </c>
    </row>
    <row r="21" spans="1:1" x14ac:dyDescent="0.25">
      <c r="A21" s="5" t="s">
        <v>147</v>
      </c>
    </row>
  </sheetData>
  <dataValidations count="2">
    <dataValidation type="list" allowBlank="1" showInputMessage="1" showErrorMessage="1" sqref="J2" xr:uid="{00000000-0002-0000-0200-000000000000}">
      <formula1>INDIRECT($I$2)</formula1>
    </dataValidation>
    <dataValidation type="list" allowBlank="1" showInputMessage="1" showErrorMessage="1" sqref="D11:D13" xr:uid="{00000000-0002-0000-0200-000001000000}">
      <formula1>IF($A$6="OG",Old_Kits,New_Kits)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IF('Submission Form Entry'!$B$15="Nuc-seq",apple,banana)</xm:f>
          </x14:formula1>
          <xm:sqref>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workbookViewId="0">
      <selection activeCell="E3" sqref="E3"/>
    </sheetView>
  </sheetViews>
  <sheetFormatPr defaultColWidth="8.88671875" defaultRowHeight="13.2" x14ac:dyDescent="0.25"/>
  <cols>
    <col min="2" max="2" width="24.109375" customWidth="1"/>
    <col min="3" max="3" width="19.33203125" bestFit="1" customWidth="1"/>
    <col min="4" max="4" width="11.6640625" bestFit="1" customWidth="1"/>
    <col min="5" max="5" width="14.33203125" customWidth="1"/>
    <col min="6" max="6" width="13.33203125" customWidth="1"/>
    <col min="7" max="7" width="2.33203125" customWidth="1"/>
  </cols>
  <sheetData>
    <row r="1" spans="1:7" x14ac:dyDescent="0.25">
      <c r="A1" t="str">
        <f>TRIM(RIGHT(SUBSTITUTE('Submission Form Entry'!$B$8," ",REPT(" ",50)),50))&amp;"_"&amp;TRIM(LEFT(SUBSTITUTE('Submission Form Entry'!$B$6," ",REPT(" ",50)),50))&amp;"_"&amp;TEXT('Submission Form Entry'!B5,"yy.mm.dd")</f>
        <v>__00.01.00</v>
      </c>
    </row>
    <row r="3" spans="1:7" ht="28.5" customHeight="1" x14ac:dyDescent="0.25">
      <c r="A3" s="17" t="s">
        <v>69</v>
      </c>
      <c r="B3" s="17" t="s">
        <v>33</v>
      </c>
      <c r="C3" s="17" t="s">
        <v>34</v>
      </c>
      <c r="D3" s="18" t="s">
        <v>70</v>
      </c>
      <c r="E3" s="18" t="s">
        <v>71</v>
      </c>
      <c r="F3" s="18" t="s">
        <v>72</v>
      </c>
    </row>
    <row r="4" spans="1:7" x14ac:dyDescent="0.25">
      <c r="A4" s="19" t="str">
        <f>IF(B4&lt;&gt;"",1,"")</f>
        <v/>
      </c>
      <c r="B4" s="19" t="str">
        <f>IF('Submission Form Entry'!A20="","",'Submission Form Entry'!A20)</f>
        <v/>
      </c>
      <c r="C4" s="19" t="str">
        <f>IF($B$4="","",'Submission Form Entry'!B34)</f>
        <v/>
      </c>
      <c r="D4" s="19" t="str">
        <f>IF($B$4="","",'Submission Form Entry'!H34)</f>
        <v/>
      </c>
      <c r="E4" s="20" t="str">
        <f>IF($B$4="","",'Submission Form Entry'!I34)</f>
        <v/>
      </c>
      <c r="F4" s="20" t="str">
        <f>IF($B$4="","",'Submission Form Entry'!J34)</f>
        <v/>
      </c>
    </row>
    <row r="5" spans="1:7" x14ac:dyDescent="0.25">
      <c r="A5" s="19" t="str">
        <f>IF(B5&lt;&gt;"",2,"")</f>
        <v/>
      </c>
      <c r="B5" s="19" t="str">
        <f>IF(B4="","",IF('Submission Form Entry'!A21=0,"",'Submission Form Entry'!A21))</f>
        <v/>
      </c>
      <c r="C5" s="19" t="str">
        <f>IF($B5="","",'Submission Form Entry'!B35)</f>
        <v/>
      </c>
      <c r="D5" s="19" t="str">
        <f>IF($B5="","",'Submission Form Entry'!H35)</f>
        <v/>
      </c>
      <c r="E5" s="20" t="str">
        <f>IF($B5="","",'Submission Form Entry'!I35)</f>
        <v/>
      </c>
      <c r="F5" s="20" t="str">
        <f>IF($B5="","",'Submission Form Entry'!J35)</f>
        <v/>
      </c>
    </row>
    <row r="6" spans="1:7" x14ac:dyDescent="0.25">
      <c r="A6" s="19" t="str">
        <f>IF(B6&lt;&gt;"",3,"")</f>
        <v/>
      </c>
      <c r="B6" s="19" t="str">
        <f>IF(B5="","",IF('Submission Form Entry'!A22=0,"",'Submission Form Entry'!A22))</f>
        <v/>
      </c>
      <c r="C6" s="19" t="str">
        <f>IF($B6="","",'Submission Form Entry'!B36)</f>
        <v/>
      </c>
      <c r="D6" s="19" t="str">
        <f>IF($B6="","",'Submission Form Entry'!H36)</f>
        <v/>
      </c>
      <c r="E6" s="20" t="str">
        <f>IF($B6="","",'Submission Form Entry'!I36)</f>
        <v/>
      </c>
      <c r="F6" s="20" t="str">
        <f>IF($B6="","",'Submission Form Entry'!J36)</f>
        <v/>
      </c>
    </row>
    <row r="7" spans="1:7" x14ac:dyDescent="0.25">
      <c r="A7" s="19" t="str">
        <f>IF(B7&lt;&gt;"",4,"")</f>
        <v/>
      </c>
      <c r="B7" s="19" t="str">
        <f>IF(B6="","",IF('Submission Form Entry'!A23=0,"",'Submission Form Entry'!A23))</f>
        <v/>
      </c>
      <c r="C7" s="19" t="str">
        <f>IF($B7="","",'Submission Form Entry'!B37)</f>
        <v/>
      </c>
      <c r="D7" s="19" t="str">
        <f>IF($B7="","",'Submission Form Entry'!H37)</f>
        <v/>
      </c>
      <c r="E7" s="20" t="str">
        <f>IF($B7="","",'Submission Form Entry'!I37)</f>
        <v/>
      </c>
      <c r="F7" s="20" t="str">
        <f>IF($B7="","",'Submission Form Entry'!J37)</f>
        <v/>
      </c>
      <c r="G7" s="5"/>
    </row>
    <row r="8" spans="1:7" x14ac:dyDescent="0.25">
      <c r="A8" s="19" t="str">
        <f>IF(B8&lt;&gt;"",5,"")</f>
        <v/>
      </c>
      <c r="B8" s="19" t="str">
        <f>IF(B7="","",IF('Submission Form Entry'!A24=0,"",'Submission Form Entry'!A24))</f>
        <v/>
      </c>
      <c r="C8" s="19" t="str">
        <f>IF($B8="","",'Submission Form Entry'!B38)</f>
        <v/>
      </c>
      <c r="D8" s="19" t="str">
        <f>IF($B8="","",'Submission Form Entry'!H38)</f>
        <v/>
      </c>
      <c r="E8" s="20" t="str">
        <f>IF($B8="","",'Submission Form Entry'!I38)</f>
        <v/>
      </c>
      <c r="F8" s="20" t="str">
        <f>IF($B8="","",'Submission Form Entry'!J38)</f>
        <v/>
      </c>
    </row>
    <row r="9" spans="1:7" x14ac:dyDescent="0.25">
      <c r="A9" s="19" t="str">
        <f>IF(B9&lt;&gt;"",6,"")</f>
        <v/>
      </c>
      <c r="B9" s="19" t="str">
        <f>IF(B8="","",IF('Submission Form Entry'!A25=0,"",'Submission Form Entry'!A25))</f>
        <v/>
      </c>
      <c r="C9" s="19" t="str">
        <f>IF($B9="","",'Submission Form Entry'!B39)</f>
        <v/>
      </c>
      <c r="D9" s="19" t="str">
        <f>IF($B9="","",'Submission Form Entry'!H39)</f>
        <v/>
      </c>
      <c r="E9" s="20" t="str">
        <f>IF($B9="","",'Submission Form Entry'!I39)</f>
        <v/>
      </c>
      <c r="F9" s="20" t="str">
        <f>IF($B9="","",'Submission Form Entry'!J39)</f>
        <v/>
      </c>
    </row>
    <row r="10" spans="1:7" x14ac:dyDescent="0.25">
      <c r="A10" s="19" t="str">
        <f>IF(B10&lt;&gt;"",7,"")</f>
        <v/>
      </c>
      <c r="B10" s="19" t="str">
        <f>IF(B9="","",IF('Submission Form Entry'!A26=0,"",'Submission Form Entry'!A26))</f>
        <v/>
      </c>
      <c r="C10" s="19" t="str">
        <f>IF($B10="","",'Submission Form Entry'!B40)</f>
        <v/>
      </c>
      <c r="D10" s="19" t="str">
        <f>IF($B10="","",'Submission Form Entry'!H40)</f>
        <v/>
      </c>
      <c r="E10" s="20" t="str">
        <f>IF($B10="","",'Submission Form Entry'!I40)</f>
        <v/>
      </c>
      <c r="F10" s="20" t="str">
        <f>IF($B10="","",'Submission Form Entry'!J40)</f>
        <v/>
      </c>
    </row>
    <row r="11" spans="1:7" x14ac:dyDescent="0.25">
      <c r="A11" s="19" t="str">
        <f>IF(B11&lt;&gt;"",8,"")</f>
        <v/>
      </c>
      <c r="B11" s="19" t="str">
        <f>IF(B10="","",IF('Submission Form Entry'!A27=0,"",'Submission Form Entry'!A27))</f>
        <v/>
      </c>
      <c r="C11" s="19" t="str">
        <f>IF($B11="","",'Submission Form Entry'!B41)</f>
        <v/>
      </c>
      <c r="D11" s="19" t="str">
        <f>IF($B11="","",'Submission Form Entry'!H41)</f>
        <v/>
      </c>
      <c r="E11" s="20" t="str">
        <f>IF($B11="","",'Submission Form Entry'!I41)</f>
        <v/>
      </c>
      <c r="F11" s="20" t="str">
        <f>IF($B11="","",'Submission Form Entry'!J41)</f>
        <v/>
      </c>
    </row>
  </sheetData>
  <conditionalFormatting sqref="A4">
    <cfRule type="expression" dxfId="65" priority="16">
      <formula>A4=1</formula>
    </cfRule>
  </conditionalFormatting>
  <conditionalFormatting sqref="A5">
    <cfRule type="expression" dxfId="64" priority="23">
      <formula>A5=2</formula>
    </cfRule>
  </conditionalFormatting>
  <conditionalFormatting sqref="A6">
    <cfRule type="expression" dxfId="63" priority="30">
      <formula>A6=3</formula>
    </cfRule>
  </conditionalFormatting>
  <conditionalFormatting sqref="A7">
    <cfRule type="expression" dxfId="62" priority="37">
      <formula>A7=4</formula>
    </cfRule>
  </conditionalFormatting>
  <conditionalFormatting sqref="A8">
    <cfRule type="expression" dxfId="61" priority="44">
      <formula>A8=5</formula>
    </cfRule>
  </conditionalFormatting>
  <conditionalFormatting sqref="A9">
    <cfRule type="expression" dxfId="60" priority="51">
      <formula>A9=6</formula>
    </cfRule>
  </conditionalFormatting>
  <conditionalFormatting sqref="A10">
    <cfRule type="expression" dxfId="59" priority="58">
      <formula>A10=7</formula>
    </cfRule>
  </conditionalFormatting>
  <conditionalFormatting sqref="A11">
    <cfRule type="expression" dxfId="58" priority="59">
      <formula>A11=8</formula>
    </cfRule>
  </conditionalFormatting>
  <conditionalFormatting sqref="B4">
    <cfRule type="expression" dxfId="57" priority="15">
      <formula>A4=1</formula>
    </cfRule>
  </conditionalFormatting>
  <conditionalFormatting sqref="B5">
    <cfRule type="expression" dxfId="56" priority="22">
      <formula>A5=2</formula>
    </cfRule>
  </conditionalFormatting>
  <conditionalFormatting sqref="B6">
    <cfRule type="expression" dxfId="55" priority="29">
      <formula>A6=3</formula>
    </cfRule>
  </conditionalFormatting>
  <conditionalFormatting sqref="B7">
    <cfRule type="expression" dxfId="54" priority="36">
      <formula>A7=4</formula>
    </cfRule>
  </conditionalFormatting>
  <conditionalFormatting sqref="B8">
    <cfRule type="expression" dxfId="53" priority="43">
      <formula>A8=5</formula>
    </cfRule>
  </conditionalFormatting>
  <conditionalFormatting sqref="B9">
    <cfRule type="expression" dxfId="52" priority="50">
      <formula>A9=6</formula>
    </cfRule>
  </conditionalFormatting>
  <conditionalFormatting sqref="B10">
    <cfRule type="expression" dxfId="51" priority="57">
      <formula>A10=7</formula>
    </cfRule>
  </conditionalFormatting>
  <conditionalFormatting sqref="B11">
    <cfRule type="expression" dxfId="50" priority="65">
      <formula>A11=8</formula>
    </cfRule>
  </conditionalFormatting>
  <conditionalFormatting sqref="C4">
    <cfRule type="expression" dxfId="49" priority="14">
      <formula>A4=1</formula>
    </cfRule>
  </conditionalFormatting>
  <conditionalFormatting sqref="C5">
    <cfRule type="expression" dxfId="48" priority="21">
      <formula>A5=2</formula>
    </cfRule>
  </conditionalFormatting>
  <conditionalFormatting sqref="C6">
    <cfRule type="expression" dxfId="47" priority="28">
      <formula>A6=3</formula>
    </cfRule>
  </conditionalFormatting>
  <conditionalFormatting sqref="C7">
    <cfRule type="expression" dxfId="46" priority="35">
      <formula>A7=4</formula>
    </cfRule>
  </conditionalFormatting>
  <conditionalFormatting sqref="C8">
    <cfRule type="expression" dxfId="45" priority="42">
      <formula>A8=5</formula>
    </cfRule>
  </conditionalFormatting>
  <conditionalFormatting sqref="C9">
    <cfRule type="expression" dxfId="44" priority="49">
      <formula>A9=6</formula>
    </cfRule>
  </conditionalFormatting>
  <conditionalFormatting sqref="C10">
    <cfRule type="expression" dxfId="43" priority="56">
      <formula>A10=7</formula>
    </cfRule>
  </conditionalFormatting>
  <conditionalFormatting sqref="C11">
    <cfRule type="expression" dxfId="42" priority="64">
      <formula>A11=8</formula>
    </cfRule>
  </conditionalFormatting>
  <conditionalFormatting sqref="D4">
    <cfRule type="expression" dxfId="41" priority="12">
      <formula>A4=1</formula>
    </cfRule>
  </conditionalFormatting>
  <conditionalFormatting sqref="D5">
    <cfRule type="expression" dxfId="40" priority="19">
      <formula>A5=2</formula>
    </cfRule>
  </conditionalFormatting>
  <conditionalFormatting sqref="D6">
    <cfRule type="expression" dxfId="39" priority="26">
      <formula>A6=3</formula>
    </cfRule>
  </conditionalFormatting>
  <conditionalFormatting sqref="D7">
    <cfRule type="expression" dxfId="38" priority="33">
      <formula>A7=4</formula>
    </cfRule>
  </conditionalFormatting>
  <conditionalFormatting sqref="D8">
    <cfRule type="expression" dxfId="37" priority="40">
      <formula>A8=5</formula>
    </cfRule>
  </conditionalFormatting>
  <conditionalFormatting sqref="D9">
    <cfRule type="expression" dxfId="36" priority="47">
      <formula>A9=6</formula>
    </cfRule>
  </conditionalFormatting>
  <conditionalFormatting sqref="D10">
    <cfRule type="expression" dxfId="35" priority="54">
      <formula>A10=7</formula>
    </cfRule>
  </conditionalFormatting>
  <conditionalFormatting sqref="D11">
    <cfRule type="expression" dxfId="34" priority="62">
      <formula>A11=8</formula>
    </cfRule>
  </conditionalFormatting>
  <conditionalFormatting sqref="E4">
    <cfRule type="expression" dxfId="33" priority="11">
      <formula>A4=1</formula>
    </cfRule>
  </conditionalFormatting>
  <conditionalFormatting sqref="E4:E11">
    <cfRule type="cellIs" dxfId="32" priority="1" operator="lessThan">
      <formula>2</formula>
    </cfRule>
  </conditionalFormatting>
  <conditionalFormatting sqref="E5">
    <cfRule type="expression" dxfId="31" priority="18">
      <formula>A5=2</formula>
    </cfRule>
  </conditionalFormatting>
  <conditionalFormatting sqref="E6">
    <cfRule type="expression" dxfId="30" priority="25">
      <formula>A6=3</formula>
    </cfRule>
  </conditionalFormatting>
  <conditionalFormatting sqref="E7">
    <cfRule type="expression" dxfId="29" priority="32">
      <formula>A7=4</formula>
    </cfRule>
  </conditionalFormatting>
  <conditionalFormatting sqref="E8">
    <cfRule type="expression" dxfId="28" priority="39">
      <formula>A8=5</formula>
    </cfRule>
  </conditionalFormatting>
  <conditionalFormatting sqref="E9">
    <cfRule type="expression" dxfId="27" priority="46">
      <formula>A9=6</formula>
    </cfRule>
  </conditionalFormatting>
  <conditionalFormatting sqref="E10">
    <cfRule type="expression" dxfId="26" priority="53">
      <formula>A10=7</formula>
    </cfRule>
  </conditionalFormatting>
  <conditionalFormatting sqref="E11">
    <cfRule type="expression" dxfId="25" priority="61">
      <formula>A11=8</formula>
    </cfRule>
  </conditionalFormatting>
  <conditionalFormatting sqref="F4">
    <cfRule type="expression" dxfId="24" priority="10">
      <formula>A4=1</formula>
    </cfRule>
  </conditionalFormatting>
  <conditionalFormatting sqref="F5">
    <cfRule type="expression" dxfId="23" priority="17">
      <formula>A5=2</formula>
    </cfRule>
  </conditionalFormatting>
  <conditionalFormatting sqref="F6">
    <cfRule type="expression" dxfId="22" priority="24">
      <formula>A6=3</formula>
    </cfRule>
  </conditionalFormatting>
  <conditionalFormatting sqref="F7">
    <cfRule type="expression" dxfId="21" priority="31">
      <formula>A7=4</formula>
    </cfRule>
  </conditionalFormatting>
  <conditionalFormatting sqref="F8">
    <cfRule type="expression" dxfId="20" priority="38">
      <formula>A8=5</formula>
    </cfRule>
  </conditionalFormatting>
  <conditionalFormatting sqref="F9">
    <cfRule type="expression" dxfId="19" priority="45">
      <formula>A9=6</formula>
    </cfRule>
  </conditionalFormatting>
  <conditionalFormatting sqref="F10">
    <cfRule type="expression" dxfId="18" priority="52">
      <formula>A10=7</formula>
    </cfRule>
  </conditionalFormatting>
  <conditionalFormatting sqref="F11">
    <cfRule type="expression" dxfId="17" priority="60">
      <formula>A11=8</formula>
    </cfRule>
  </conditionalFormatting>
  <conditionalFormatting sqref="G4">
    <cfRule type="expression" dxfId="16" priority="9">
      <formula>A4=1</formula>
    </cfRule>
  </conditionalFormatting>
  <conditionalFormatting sqref="G5">
    <cfRule type="expression" dxfId="15" priority="8">
      <formula>A5=2</formula>
    </cfRule>
  </conditionalFormatting>
  <conditionalFormatting sqref="G6">
    <cfRule type="expression" dxfId="14" priority="7">
      <formula>A6=3</formula>
    </cfRule>
  </conditionalFormatting>
  <conditionalFormatting sqref="G7">
    <cfRule type="expression" dxfId="13" priority="6">
      <formula>A7=4</formula>
    </cfRule>
  </conditionalFormatting>
  <conditionalFormatting sqref="G8">
    <cfRule type="expression" dxfId="12" priority="5">
      <formula>A8=5</formula>
    </cfRule>
  </conditionalFormatting>
  <conditionalFormatting sqref="G9">
    <cfRule type="expression" dxfId="11" priority="4">
      <formula>A9=6</formula>
    </cfRule>
  </conditionalFormatting>
  <conditionalFormatting sqref="G10">
    <cfRule type="expression" dxfId="10" priority="3">
      <formula>A10=7</formula>
    </cfRule>
  </conditionalFormatting>
  <conditionalFormatting sqref="G11">
    <cfRule type="expression" dxfId="9" priority="2">
      <formula>A11=8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4"/>
  <sheetViews>
    <sheetView workbookViewId="0">
      <selection activeCell="C3" sqref="C3"/>
    </sheetView>
  </sheetViews>
  <sheetFormatPr defaultColWidth="8.88671875" defaultRowHeight="13.2" x14ac:dyDescent="0.25"/>
  <cols>
    <col min="1" max="1" width="20.33203125" bestFit="1" customWidth="1"/>
    <col min="2" max="2" width="18.33203125" bestFit="1" customWidth="1"/>
    <col min="3" max="3" width="19" bestFit="1" customWidth="1"/>
    <col min="4" max="4" width="12.109375" bestFit="1" customWidth="1"/>
    <col min="5" max="5" width="24.44140625" bestFit="1" customWidth="1"/>
    <col min="6" max="6" width="21.44140625" bestFit="1" customWidth="1"/>
    <col min="7" max="7" width="16.33203125" bestFit="1" customWidth="1"/>
    <col min="8" max="8" width="19" bestFit="1" customWidth="1"/>
    <col min="9" max="9" width="16.109375" bestFit="1" customWidth="1"/>
  </cols>
  <sheetData>
    <row r="1" spans="1:17" x14ac:dyDescent="0.25">
      <c r="A1" t="s">
        <v>73</v>
      </c>
    </row>
    <row r="2" spans="1:17" x14ac:dyDescent="0.25">
      <c r="A2" s="5" t="s">
        <v>74</v>
      </c>
      <c r="B2" s="5" t="s">
        <v>75</v>
      </c>
      <c r="C2" t="s">
        <v>76</v>
      </c>
      <c r="D2" t="s">
        <v>77</v>
      </c>
      <c r="E2" s="5" t="s">
        <v>78</v>
      </c>
      <c r="F2" s="5" t="s">
        <v>79</v>
      </c>
      <c r="G2" s="5" t="s">
        <v>80</v>
      </c>
      <c r="H2" s="5" t="s">
        <v>81</v>
      </c>
      <c r="I2" s="5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  <c r="P2" t="s">
        <v>89</v>
      </c>
      <c r="Q2" t="s">
        <v>90</v>
      </c>
    </row>
    <row r="3" spans="1:17" x14ac:dyDescent="0.25">
      <c r="A3" s="6" t="s">
        <v>91</v>
      </c>
      <c r="D3" s="6"/>
    </row>
    <row r="4" spans="1:17" x14ac:dyDescent="0.25">
      <c r="A4" s="6" t="s">
        <v>92</v>
      </c>
      <c r="D4" s="6"/>
    </row>
    <row r="5" spans="1:17" x14ac:dyDescent="0.25">
      <c r="A5">
        <f>'Submission Form Entry'!A20</f>
        <v>0</v>
      </c>
      <c r="B5" t="str">
        <f>'Submission Form Entry'!C20</f>
        <v>[SELECT ONE]</v>
      </c>
      <c r="C5">
        <f>'Submission Form Entry'!E20</f>
        <v>0</v>
      </c>
      <c r="D5">
        <f>'Submission Form Entry'!B34</f>
        <v>0</v>
      </c>
      <c r="E5">
        <f>'Submission Form Entry'!I20</f>
        <v>0</v>
      </c>
      <c r="F5" t="e">
        <f>'Submission Form Entry'!#REF!</f>
        <v>#REF!</v>
      </c>
      <c r="G5">
        <f>'Submission Form Entry'!D20</f>
        <v>0</v>
      </c>
      <c r="H5" t="str">
        <f>'Submission Form Entry'!G34</f>
        <v/>
      </c>
      <c r="I5">
        <f>'Submission Form Entry'!D34</f>
        <v>0</v>
      </c>
      <c r="J5" t="e">
        <f>'Submission Form Entry'!#REF!</f>
        <v>#REF!</v>
      </c>
      <c r="K5" t="e">
        <f>'Submission Form Entry'!#REF!</f>
        <v>#REF!</v>
      </c>
      <c r="L5">
        <f>'Submission Form Entry'!C34</f>
        <v>0</v>
      </c>
      <c r="M5">
        <f>'Submission Form Entry'!E34</f>
        <v>0</v>
      </c>
      <c r="N5">
        <f>'Submission Form Entry'!F34</f>
        <v>0</v>
      </c>
      <c r="O5" t="str">
        <f>'Submission Form Entry'!H34</f>
        <v/>
      </c>
      <c r="P5" t="str">
        <f>'Submission Form Entry'!I34</f>
        <v/>
      </c>
      <c r="Q5" t="str">
        <f>'Submission Form Entry'!J34</f>
        <v/>
      </c>
    </row>
    <row r="6" spans="1:17" x14ac:dyDescent="0.25">
      <c r="A6" t="str">
        <f>IF(OR(A5="&lt;/SAMPLE ENTRIES&gt;",A5=""),"",IF('Submission Form Entry'!A21=0,"&lt;/SAMPLE ENTRIES&gt;",'Submission Form Entry'!A21))</f>
        <v>&lt;/SAMPLE ENTRIES&gt;</v>
      </c>
      <c r="B6" t="str">
        <f>IF(OR($A6="&lt;/SAMPLE ENTRIES&gt;",$A6=""),"",'Submission Form Entry'!C21)</f>
        <v/>
      </c>
      <c r="C6" t="str">
        <f>IF(OR($A6="&lt;/SAMPLE ENTRIES&gt;",$A6=""),"",'Submission Form Entry'!E21)</f>
        <v/>
      </c>
      <c r="D6" t="str">
        <f>IF(OR($A6="&lt;/SAMPLE ENTRIES&gt;",$A6=""),"",'Submission Form Entry'!B35)</f>
        <v/>
      </c>
      <c r="E6" t="str">
        <f>IF(OR($A6="&lt;/SAMPLE ENTRIES&gt;",$A6=""),"",'Submission Form Entry'!I21)</f>
        <v/>
      </c>
      <c r="F6" t="str">
        <f>IF(OR($A6="&lt;/SAMPLE ENTRIES&gt;",$A6=""),"",'Submission Form Entry'!#REF!)</f>
        <v/>
      </c>
      <c r="G6" t="str">
        <f>IF(OR($A6="&lt;/SAMPLE ENTRIES&gt;",$A6=""),"",'Submission Form Entry'!D21)</f>
        <v/>
      </c>
      <c r="H6" t="str">
        <f>IF(OR($A6="&lt;/SAMPLE ENTRIES&gt;",$A6=""),"",'Submission Form Entry'!G35)</f>
        <v/>
      </c>
      <c r="I6" t="str">
        <f>IF(OR($A6="&lt;/SAMPLE ENTRIES&gt;",$A6=""),"",'Submission Form Entry'!D35)</f>
        <v/>
      </c>
      <c r="J6" t="str">
        <f>IF(OR($A6="&lt;/SAMPLE ENTRIES&gt;",$A6=""),"",'Submission Form Entry'!#REF!)</f>
        <v/>
      </c>
      <c r="K6" t="str">
        <f>IF(OR($A6="&lt;/SAMPLE ENTRIES&gt;",$A6=""),"",'Submission Form Entry'!#REF!)</f>
        <v/>
      </c>
      <c r="L6" t="str">
        <f>IF(OR($A6="&lt;/SAMPLE ENTRIES&gt;",$A6=""),"",'Submission Form Entry'!C35)</f>
        <v/>
      </c>
      <c r="M6" t="str">
        <f>IF(OR($A6="&lt;/SAMPLE ENTRIES&gt;",$A6=""),"",'Submission Form Entry'!E35)</f>
        <v/>
      </c>
      <c r="N6" t="str">
        <f>IF(OR($A6="&lt;/SAMPLE ENTRIES&gt;",$A6=""),"",'Submission Form Entry'!F35)</f>
        <v/>
      </c>
      <c r="O6" t="str">
        <f>IF(OR($A6="&lt;/SAMPLE ENTRIES&gt;",$A6=""),"",'Submission Form Entry'!H35)</f>
        <v/>
      </c>
      <c r="P6" t="str">
        <f>IF(OR($A6="&lt;/SAMPLE ENTRIES&gt;",$A6=""),"",'Submission Form Entry'!I35)</f>
        <v/>
      </c>
      <c r="Q6" t="str">
        <f>IF(OR($A6="&lt;/SAMPLE ENTRIES&gt;",$A6=""),"",'Submission Form Entry'!J35)</f>
        <v/>
      </c>
    </row>
    <row r="7" spans="1:17" x14ac:dyDescent="0.25">
      <c r="A7" t="str">
        <f>IF(OR(A6="&lt;/SAMPLE ENTRIES&gt;",A6=""),"",IF('Submission Form Entry'!A22=0,"&lt;/SAMPLE ENTRIES&gt;",'Submission Form Entry'!A22))</f>
        <v/>
      </c>
      <c r="B7" t="str">
        <f>IF(OR($A7="&lt;/SAMPLE ENTRIES&gt;",$A7=""),"",'Submission Form Entry'!C22)</f>
        <v/>
      </c>
      <c r="D7" t="str">
        <f>IF(OR($A7="&lt;/SAMPLE ENTRIES&gt;",$A7=""),"",'Submission Form Entry'!B36)</f>
        <v/>
      </c>
      <c r="E7" t="str">
        <f>IF(OR($A7="&lt;/SAMPLE ENTRIES&gt;",$A7=""),"",'Submission Form Entry'!I22)</f>
        <v/>
      </c>
      <c r="F7" t="str">
        <f>IF(OR($A7="&lt;/SAMPLE ENTRIES&gt;",$A7=""),"",'Submission Form Entry'!#REF!)</f>
        <v/>
      </c>
      <c r="G7" t="str">
        <f>IF(OR($A7="&lt;/SAMPLE ENTRIES&gt;",$A7=""),"",'Submission Form Entry'!D22)</f>
        <v/>
      </c>
      <c r="H7" t="str">
        <f>IF(OR($A7="&lt;/SAMPLE ENTRIES&gt;",$A7=""),"",'Submission Form Entry'!G36)</f>
        <v/>
      </c>
      <c r="I7" t="str">
        <f>IF(OR($A7="&lt;/SAMPLE ENTRIES&gt;",$A7=""),"",'Submission Form Entry'!D36)</f>
        <v/>
      </c>
      <c r="J7" t="str">
        <f>IF(OR($A7="&lt;/SAMPLE ENTRIES&gt;",$A7=""),"",'Submission Form Entry'!#REF!)</f>
        <v/>
      </c>
      <c r="K7" t="str">
        <f>IF(OR($A7="&lt;/SAMPLE ENTRIES&gt;",$A7=""),"",'Submission Form Entry'!#REF!)</f>
        <v/>
      </c>
      <c r="L7" t="str">
        <f>IF(OR($A7="&lt;/SAMPLE ENTRIES&gt;",$A7=""),"",'Submission Form Entry'!C36)</f>
        <v/>
      </c>
      <c r="M7" t="str">
        <f>IF(OR($A7="&lt;/SAMPLE ENTRIES&gt;",$A7=""),"",'Submission Form Entry'!E36)</f>
        <v/>
      </c>
      <c r="N7" t="str">
        <f>IF(OR($A7="&lt;/SAMPLE ENTRIES&gt;",$A7=""),"",'Submission Form Entry'!F36)</f>
        <v/>
      </c>
      <c r="O7" t="str">
        <f>IF(OR($A7="&lt;/SAMPLE ENTRIES&gt;",$A7=""),"",'Submission Form Entry'!H36)</f>
        <v/>
      </c>
      <c r="P7" t="str">
        <f>IF(OR($A7="&lt;/SAMPLE ENTRIES&gt;",$A7=""),"",'Submission Form Entry'!I36)</f>
        <v/>
      </c>
    </row>
    <row r="8" spans="1:17" x14ac:dyDescent="0.25">
      <c r="A8" t="str">
        <f>IF(OR(A7="&lt;/SAMPLE ENTRIES&gt;",A7=""),"",IF('Submission Form Entry'!A23=0,"&lt;/SAMPLE ENTRIES&gt;",'Submission Form Entry'!A23))</f>
        <v/>
      </c>
      <c r="B8" t="str">
        <f>IF(OR($A8="&lt;/SAMPLE ENTRIES&gt;",$A8=""),"",'Submission Form Entry'!C23)</f>
        <v/>
      </c>
      <c r="C8" t="str">
        <f>IF(OR($A8="&lt;/SAMPLE ENTRIES&gt;",$A8=""),"",'Submission Form Entry'!E23)</f>
        <v/>
      </c>
      <c r="D8" t="str">
        <f>IF(OR($A8="&lt;/SAMPLE ENTRIES&gt;",$A8=""),"",'Submission Form Entry'!B37)</f>
        <v/>
      </c>
      <c r="E8" t="str">
        <f>IF(OR($A8="&lt;/SAMPLE ENTRIES&gt;",$A8=""),"",'Submission Form Entry'!I23)</f>
        <v/>
      </c>
      <c r="F8" t="str">
        <f>IF(OR($A8="&lt;/SAMPLE ENTRIES&gt;",$A8=""),"",'Submission Form Entry'!#REF!)</f>
        <v/>
      </c>
      <c r="G8" t="str">
        <f>IF(OR($A8="&lt;/SAMPLE ENTRIES&gt;",$A8=""),"",'Submission Form Entry'!D23)</f>
        <v/>
      </c>
      <c r="H8" t="str">
        <f>IF(OR($A8="&lt;/SAMPLE ENTRIES&gt;",$A8=""),"",'Submission Form Entry'!G37)</f>
        <v/>
      </c>
      <c r="I8" t="str">
        <f>IF(OR($A8="&lt;/SAMPLE ENTRIES&gt;",$A8=""),"",'Submission Form Entry'!D37)</f>
        <v/>
      </c>
      <c r="J8" t="str">
        <f>IF(OR($A8="&lt;/SAMPLE ENTRIES&gt;",$A8=""),"",'Submission Form Entry'!#REF!)</f>
        <v/>
      </c>
      <c r="K8" t="str">
        <f>IF(OR($A8="&lt;/SAMPLE ENTRIES&gt;",$A8=""),"",'Submission Form Entry'!#REF!)</f>
        <v/>
      </c>
      <c r="L8" t="str">
        <f>IF(OR($A8="&lt;/SAMPLE ENTRIES&gt;",$A8=""),"",'Submission Form Entry'!C37)</f>
        <v/>
      </c>
      <c r="M8" t="str">
        <f>IF(OR($A8="&lt;/SAMPLE ENTRIES&gt;",$A8=""),"",'Submission Form Entry'!E37)</f>
        <v/>
      </c>
      <c r="N8" t="str">
        <f>IF(OR($A8="&lt;/SAMPLE ENTRIES&gt;",$A8=""),"",'Submission Form Entry'!F37)</f>
        <v/>
      </c>
      <c r="O8" t="str">
        <f>IF(OR($A8="&lt;/SAMPLE ENTRIES&gt;",$A8=""),"",'Submission Form Entry'!H37)</f>
        <v/>
      </c>
      <c r="P8" t="str">
        <f>IF(OR($A8="&lt;/SAMPLE ENTRIES&gt;",$A8=""),"",'Submission Form Entry'!I37)</f>
        <v/>
      </c>
    </row>
    <row r="9" spans="1:17" x14ac:dyDescent="0.25">
      <c r="A9" t="str">
        <f>IF(OR(A8="&lt;/SAMPLE ENTRIES&gt;",A8=""),"",IF('Submission Form Entry'!A24=0,"&lt;/SAMPLE ENTRIES&gt;",'Submission Form Entry'!A24))</f>
        <v/>
      </c>
      <c r="B9" t="str">
        <f>IF(OR($A9="&lt;/SAMPLE ENTRIES&gt;",$A9=""),"",'Submission Form Entry'!C24)</f>
        <v/>
      </c>
      <c r="C9" t="str">
        <f>IF(OR($A9="&lt;/SAMPLE ENTRIES&gt;",$A9=""),"",'Submission Form Entry'!E24)</f>
        <v/>
      </c>
      <c r="D9" t="str">
        <f>IF(OR($A9="&lt;/SAMPLE ENTRIES&gt;",$A9=""),"",'Submission Form Entry'!B38)</f>
        <v/>
      </c>
      <c r="E9" t="str">
        <f>IF(OR($A9="&lt;/SAMPLE ENTRIES&gt;",$A9=""),"",'Submission Form Entry'!I24)</f>
        <v/>
      </c>
      <c r="F9" t="str">
        <f>IF(OR($A9="&lt;/SAMPLE ENTRIES&gt;",$A9=""),"",'Submission Form Entry'!#REF!)</f>
        <v/>
      </c>
      <c r="G9" t="str">
        <f>IF(OR($A9="&lt;/SAMPLE ENTRIES&gt;",$A9=""),"",'Submission Form Entry'!D24)</f>
        <v/>
      </c>
      <c r="H9" t="str">
        <f>IF(OR($A9="&lt;/SAMPLE ENTRIES&gt;",$A9=""),"",'Submission Form Entry'!G38)</f>
        <v/>
      </c>
      <c r="I9" t="str">
        <f>IF(OR($A9="&lt;/SAMPLE ENTRIES&gt;",$A9=""),"",'Submission Form Entry'!D38)</f>
        <v/>
      </c>
      <c r="J9" t="str">
        <f>IF(OR($A9="&lt;/SAMPLE ENTRIES&gt;",$A9=""),"",'Submission Form Entry'!#REF!)</f>
        <v/>
      </c>
      <c r="K9" t="str">
        <f>IF(OR($A9="&lt;/SAMPLE ENTRIES&gt;",$A9=""),"",'Submission Form Entry'!#REF!)</f>
        <v/>
      </c>
      <c r="L9" t="str">
        <f>IF(OR($A9="&lt;/SAMPLE ENTRIES&gt;",$A9=""),"",'Submission Form Entry'!C38)</f>
        <v/>
      </c>
      <c r="M9" t="str">
        <f>IF(OR($A9="&lt;/SAMPLE ENTRIES&gt;",$A9=""),"",'Submission Form Entry'!E38)</f>
        <v/>
      </c>
      <c r="N9" t="str">
        <f>IF(OR($A9="&lt;/SAMPLE ENTRIES&gt;",$A9=""),"",'Submission Form Entry'!F38)</f>
        <v/>
      </c>
      <c r="O9" t="str">
        <f>IF(OR($A9="&lt;/SAMPLE ENTRIES&gt;",$A9=""),"",'Submission Form Entry'!H38)</f>
        <v/>
      </c>
      <c r="P9" t="str">
        <f>IF(OR($A9="&lt;/SAMPLE ENTRIES&gt;",$A9=""),"",'Submission Form Entry'!I38)</f>
        <v/>
      </c>
    </row>
    <row r="10" spans="1:17" x14ac:dyDescent="0.25">
      <c r="A10" t="str">
        <f>IF(OR(A9="&lt;/SAMPLE ENTRIES&gt;",A9=""),"",IF('Submission Form Entry'!A25=0,"&lt;/SAMPLE ENTRIES&gt;",'Submission Form Entry'!A25))</f>
        <v/>
      </c>
      <c r="B10" t="str">
        <f>IF(OR($A10="&lt;/SAMPLE ENTRIES&gt;",$A10=""),"",'Submission Form Entry'!C25)</f>
        <v/>
      </c>
      <c r="C10" t="str">
        <f>IF(OR($A10="&lt;/SAMPLE ENTRIES&gt;",$A10=""),"",'Submission Form Entry'!E25)</f>
        <v/>
      </c>
      <c r="D10" t="str">
        <f>IF(OR($A10="&lt;/SAMPLE ENTRIES&gt;",$A10=""),"",'Submission Form Entry'!B39)</f>
        <v/>
      </c>
      <c r="E10" t="str">
        <f>IF(OR($A10="&lt;/SAMPLE ENTRIES&gt;",$A10=""),"",'Submission Form Entry'!I25)</f>
        <v/>
      </c>
      <c r="F10" t="str">
        <f>IF(OR($A10="&lt;/SAMPLE ENTRIES&gt;",$A10=""),"",'Submission Form Entry'!#REF!)</f>
        <v/>
      </c>
      <c r="G10" t="str">
        <f>IF(OR($A10="&lt;/SAMPLE ENTRIES&gt;",$A10=""),"",'Submission Form Entry'!D25)</f>
        <v/>
      </c>
      <c r="H10" t="str">
        <f>IF(OR($A10="&lt;/SAMPLE ENTRIES&gt;",$A10=""),"",'Submission Form Entry'!G39)</f>
        <v/>
      </c>
      <c r="I10" t="str">
        <f>IF(OR($A10="&lt;/SAMPLE ENTRIES&gt;",$A10=""),"",'Submission Form Entry'!D39)</f>
        <v/>
      </c>
      <c r="J10" t="str">
        <f>IF(OR($A10="&lt;/SAMPLE ENTRIES&gt;",$A10=""),"",'Submission Form Entry'!#REF!)</f>
        <v/>
      </c>
      <c r="K10" t="str">
        <f>IF(OR($A10="&lt;/SAMPLE ENTRIES&gt;",$A10=""),"",'Submission Form Entry'!#REF!)</f>
        <v/>
      </c>
      <c r="L10" t="str">
        <f>IF(OR($A10="&lt;/SAMPLE ENTRIES&gt;",$A10=""),"",'Submission Form Entry'!C39)</f>
        <v/>
      </c>
      <c r="M10" t="str">
        <f>IF(OR($A10="&lt;/SAMPLE ENTRIES&gt;",$A10=""),"",'Submission Form Entry'!E39)</f>
        <v/>
      </c>
      <c r="N10" t="str">
        <f>IF(OR($A10="&lt;/SAMPLE ENTRIES&gt;",$A10=""),"",'Submission Form Entry'!F39)</f>
        <v/>
      </c>
      <c r="O10" t="str">
        <f>IF(OR($A10="&lt;/SAMPLE ENTRIES&gt;",$A10=""),"",'Submission Form Entry'!H39)</f>
        <v/>
      </c>
      <c r="P10" t="str">
        <f>IF(OR($A10="&lt;/SAMPLE ENTRIES&gt;",$A10=""),"",'Submission Form Entry'!I39)</f>
        <v/>
      </c>
    </row>
    <row r="11" spans="1:17" x14ac:dyDescent="0.25">
      <c r="A11" t="str">
        <f>IF(OR(A10="&lt;/SAMPLE ENTRIES&gt;",A10=""),"",IF('Submission Form Entry'!A26=0,"&lt;/SAMPLE ENTRIES&gt;",'Submission Form Entry'!A26))</f>
        <v/>
      </c>
      <c r="B11" t="str">
        <f>IF(OR($A11="&lt;/SAMPLE ENTRIES&gt;",$A11=""),"",'Submission Form Entry'!C26)</f>
        <v/>
      </c>
      <c r="C11" t="str">
        <f>IF(OR($A11="&lt;/SAMPLE ENTRIES&gt;",$A11=""),"",'Submission Form Entry'!E26)</f>
        <v/>
      </c>
      <c r="D11" t="str">
        <f>IF(OR($A11="&lt;/SAMPLE ENTRIES&gt;",$A11=""),"",'Submission Form Entry'!B40)</f>
        <v/>
      </c>
      <c r="E11" t="str">
        <f>IF(OR($A11="&lt;/SAMPLE ENTRIES&gt;",$A11=""),"",'Submission Form Entry'!I26)</f>
        <v/>
      </c>
      <c r="F11" t="str">
        <f>IF(OR($A11="&lt;/SAMPLE ENTRIES&gt;",$A11=""),"",'Submission Form Entry'!#REF!)</f>
        <v/>
      </c>
      <c r="G11" t="str">
        <f>IF(OR($A11="&lt;/SAMPLE ENTRIES&gt;",$A11=""),"",'Submission Form Entry'!D26)</f>
        <v/>
      </c>
      <c r="H11" t="str">
        <f>IF(OR($A11="&lt;/SAMPLE ENTRIES&gt;",$A11=""),"",'Submission Form Entry'!G40)</f>
        <v/>
      </c>
      <c r="I11" t="str">
        <f>IF(OR($A11="&lt;/SAMPLE ENTRIES&gt;",$A11=""),"",'Submission Form Entry'!D40)</f>
        <v/>
      </c>
      <c r="J11" t="str">
        <f>IF(OR($A11="&lt;/SAMPLE ENTRIES&gt;",$A11=""),"",'Submission Form Entry'!#REF!)</f>
        <v/>
      </c>
      <c r="K11" t="str">
        <f>IF(OR($A11="&lt;/SAMPLE ENTRIES&gt;",$A11=""),"",'Submission Form Entry'!#REF!)</f>
        <v/>
      </c>
      <c r="L11" t="str">
        <f>IF(OR($A11="&lt;/SAMPLE ENTRIES&gt;",$A11=""),"",'Submission Form Entry'!C40)</f>
        <v/>
      </c>
      <c r="M11" t="str">
        <f>IF(OR($A11="&lt;/SAMPLE ENTRIES&gt;",$A11=""),"",'Submission Form Entry'!E40)</f>
        <v/>
      </c>
      <c r="N11" t="str">
        <f>IF(OR($A11="&lt;/SAMPLE ENTRIES&gt;",$A11=""),"",'Submission Form Entry'!F40)</f>
        <v/>
      </c>
      <c r="O11" t="str">
        <f>IF(OR($A11="&lt;/SAMPLE ENTRIES&gt;",$A11=""),"",'Submission Form Entry'!H40)</f>
        <v/>
      </c>
      <c r="P11" t="str">
        <f>IF(OR($A11="&lt;/SAMPLE ENTRIES&gt;",$A11=""),"",'Submission Form Entry'!I40)</f>
        <v/>
      </c>
    </row>
    <row r="12" spans="1:17" x14ac:dyDescent="0.25">
      <c r="A12" t="str">
        <f>IF(OR(A11="&lt;/SAMPLE ENTRIES&gt;",A11=""),"",IF('Submission Form Entry'!A27=0,"&lt;/SAMPLE ENTRIES&gt;",'Submission Form Entry'!A27))</f>
        <v/>
      </c>
      <c r="B12" t="str">
        <f>IF(OR($A12="&lt;/SAMPLE ENTRIES&gt;",$A12=""),"",'Submission Form Entry'!C27)</f>
        <v/>
      </c>
      <c r="C12" t="str">
        <f>IF(OR($A12="&lt;/SAMPLE ENTRIES&gt;",$A12=""),"",'Submission Form Entry'!E27)</f>
        <v/>
      </c>
      <c r="D12" t="str">
        <f>IF(OR($A12="&lt;/SAMPLE ENTRIES&gt;",$A12=""),"",'Submission Form Entry'!B41)</f>
        <v/>
      </c>
      <c r="E12" t="str">
        <f>IF(OR($A12="&lt;/SAMPLE ENTRIES&gt;",$A12=""),"",'Submission Form Entry'!I27)</f>
        <v/>
      </c>
      <c r="F12" t="str">
        <f>IF(OR($A12="&lt;/SAMPLE ENTRIES&gt;",$A12=""),"",'Submission Form Entry'!#REF!)</f>
        <v/>
      </c>
      <c r="G12" t="str">
        <f>IF(OR($A12="&lt;/SAMPLE ENTRIES&gt;",$A12=""),"",'Submission Form Entry'!D27)</f>
        <v/>
      </c>
      <c r="H12" t="str">
        <f>IF(OR($A12="&lt;/SAMPLE ENTRIES&gt;",$A12=""),"",'Submission Form Entry'!G41)</f>
        <v/>
      </c>
      <c r="I12" t="str">
        <f>IF(OR($A12="&lt;/SAMPLE ENTRIES&gt;",$A12=""),"",'Submission Form Entry'!D41)</f>
        <v/>
      </c>
      <c r="J12" t="str">
        <f>IF(OR($A12="&lt;/SAMPLE ENTRIES&gt;",$A12=""),"",'Submission Form Entry'!#REF!)</f>
        <v/>
      </c>
      <c r="K12" t="str">
        <f>IF(OR($A12="&lt;/SAMPLE ENTRIES&gt;",$A12=""),"",'Submission Form Entry'!#REF!)</f>
        <v/>
      </c>
      <c r="L12" t="str">
        <f>IF(OR($A12="&lt;/SAMPLE ENTRIES&gt;",$A12=""),"",'Submission Form Entry'!C41)</f>
        <v/>
      </c>
      <c r="M12" t="str">
        <f>IF(OR($A12="&lt;/SAMPLE ENTRIES&gt;",$A12=""),"",'Submission Form Entry'!E41)</f>
        <v/>
      </c>
      <c r="N12" t="str">
        <f>IF(OR($A12="&lt;/SAMPLE ENTRIES&gt;",$A12=""),"",'Submission Form Entry'!F41)</f>
        <v/>
      </c>
      <c r="O12" t="str">
        <f>IF(OR($A12="&lt;/SAMPLE ENTRIES&gt;",$A12=""),"",'Submission Form Entry'!H41)</f>
        <v/>
      </c>
      <c r="P12" t="str">
        <f>IF(OR($A12="&lt;/SAMPLE ENTRIES&gt;",$A12=""),"",'Submission Form Entry'!I41)</f>
        <v/>
      </c>
    </row>
    <row r="13" spans="1:17" x14ac:dyDescent="0.25">
      <c r="A13" t="str">
        <f>IF(OR(A12="&lt;/SAMPLE ENTRIES&gt;",A12=""),"",IF('Submission Form Entry'!A30="add additional lines here","&lt;/SAMPLE ENTRIES&gt;",'Submission Form Entry'!A30))</f>
        <v/>
      </c>
      <c r="B13" t="str">
        <f>IF(OR($A13="&lt;/SAMPLE ENTRIES&gt;",$A13=""),"",'Submission Form Entry'!C30)</f>
        <v/>
      </c>
      <c r="C13" t="str">
        <f>IF(OR($A13="&lt;/SAMPLE ENTRIES&gt;",$A13=""),"",'Submission Form Entry'!E30)</f>
        <v/>
      </c>
      <c r="D13" t="str">
        <f>IF(OR($A13="&lt;/SAMPLE ENTRIES&gt;",$A13=""),"",'Submission Form Entry'!B44)</f>
        <v/>
      </c>
      <c r="E13" t="str">
        <f>IF(OR($A13="&lt;/SAMPLE ENTRIES&gt;",$A13=""),"",'Submission Form Entry'!I30)</f>
        <v/>
      </c>
      <c r="F13" t="str">
        <f>IF(OR($A13="&lt;/SAMPLE ENTRIES&gt;",$A13=""),"",'Submission Form Entry'!#REF!)</f>
        <v/>
      </c>
      <c r="G13" t="str">
        <f>IF(OR($A13="&lt;/SAMPLE ENTRIES&gt;",$A13=""),"",'Submission Form Entry'!D30)</f>
        <v/>
      </c>
      <c r="H13" t="str">
        <f>IF(OR($A13="&lt;/SAMPLE ENTRIES&gt;",$A13=""),"",'Submission Form Entry'!G44)</f>
        <v/>
      </c>
      <c r="I13" t="str">
        <f>IF(OR($A13="&lt;/SAMPLE ENTRIES&gt;",$A13=""),"",'Submission Form Entry'!D44)</f>
        <v/>
      </c>
      <c r="J13" t="str">
        <f>IF(OR($A13="&lt;/SAMPLE ENTRIES&gt;",$A13=""),"",'Submission Form Entry'!#REF!)</f>
        <v/>
      </c>
      <c r="K13" t="str">
        <f>IF(OR($A13="&lt;/SAMPLE ENTRIES&gt;",$A13=""),"",'Submission Form Entry'!#REF!)</f>
        <v/>
      </c>
      <c r="L13" t="str">
        <f>IF(OR($A13="&lt;/SAMPLE ENTRIES&gt;",$A13=""),"",'Submission Form Entry'!C44)</f>
        <v/>
      </c>
      <c r="M13" t="str">
        <f>IF(OR($A13="&lt;/SAMPLE ENTRIES&gt;",$A13=""),"",'Submission Form Entry'!E44)</f>
        <v/>
      </c>
      <c r="N13" t="str">
        <f>IF(OR($A13="&lt;/SAMPLE ENTRIES&gt;",$A13=""),"",'Submission Form Entry'!F44)</f>
        <v/>
      </c>
      <c r="O13" t="str">
        <f>IF(OR($A13="&lt;/SAMPLE ENTRIES&gt;",$A13=""),"",'Submission Form Entry'!H44)</f>
        <v/>
      </c>
      <c r="P13" t="str">
        <f>IF(OR($A13="&lt;/SAMPLE ENTRIES&gt;",$A13=""),"",'Submission Form Entry'!I44)</f>
        <v/>
      </c>
    </row>
    <row r="14" spans="1:17" x14ac:dyDescent="0.25">
      <c r="A14" s="5"/>
      <c r="F14" s="5"/>
    </row>
  </sheetData>
  <sheetProtection algorithmName="SHA-512" hashValue="3hDGZYLE5ciw6a+lM3DurioX0snFMcn/zph3az2WW7SrUQUcCsbx05HvgFnMchQFf5AzCryFHY4twFL+lvCNfQ==" saltValue="DC416Hfmpa33Lzx+B6ivS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2"/>
  <sheetViews>
    <sheetView topLeftCell="A3" workbookViewId="0">
      <selection activeCell="A7" sqref="A7"/>
    </sheetView>
  </sheetViews>
  <sheetFormatPr defaultColWidth="8.88671875" defaultRowHeight="13.2" x14ac:dyDescent="0.25"/>
  <cols>
    <col min="1" max="1" width="38" customWidth="1"/>
    <col min="2" max="2" width="16.33203125" customWidth="1"/>
    <col min="3" max="3" width="38.109375" customWidth="1"/>
    <col min="4" max="4" width="21.44140625" bestFit="1" customWidth="1"/>
    <col min="5" max="5" width="11.109375" customWidth="1"/>
    <col min="6" max="6" width="21.44140625" customWidth="1"/>
    <col min="7" max="7" width="37" bestFit="1" customWidth="1"/>
    <col min="8" max="8" width="30.88671875" customWidth="1"/>
    <col min="9" max="9" width="24.109375" customWidth="1"/>
    <col min="10" max="10" width="19.6640625" bestFit="1" customWidth="1"/>
    <col min="11" max="11" width="23.44140625" customWidth="1"/>
    <col min="12" max="12" width="23" bestFit="1" customWidth="1"/>
    <col min="13" max="13" width="27.6640625" bestFit="1" customWidth="1"/>
    <col min="14" max="14" width="22" bestFit="1" customWidth="1"/>
    <col min="15" max="15" width="35.109375" bestFit="1" customWidth="1"/>
    <col min="16" max="16" width="24" bestFit="1" customWidth="1"/>
    <col min="17" max="17" width="21.44140625" bestFit="1" customWidth="1"/>
    <col min="18" max="18" width="17.44140625" bestFit="1" customWidth="1"/>
  </cols>
  <sheetData>
    <row r="1" spans="1:19" x14ac:dyDescent="0.25">
      <c r="A1" s="5" t="s">
        <v>93</v>
      </c>
      <c r="B1" s="5" t="s">
        <v>139</v>
      </c>
      <c r="C1" s="5" t="s">
        <v>94</v>
      </c>
      <c r="F1" s="5" t="s">
        <v>95</v>
      </c>
      <c r="G1" s="5" t="s">
        <v>96</v>
      </c>
      <c r="H1" s="5" t="s">
        <v>97</v>
      </c>
      <c r="J1" t="s">
        <v>2</v>
      </c>
      <c r="K1" s="5" t="s">
        <v>2</v>
      </c>
      <c r="L1" s="5" t="s">
        <v>98</v>
      </c>
      <c r="M1" s="5" t="s">
        <v>2</v>
      </c>
      <c r="O1" s="5"/>
      <c r="P1" s="5"/>
      <c r="Q1" s="5"/>
      <c r="R1" s="5"/>
    </row>
    <row r="2" spans="1:19" x14ac:dyDescent="0.25">
      <c r="A2" s="5" t="s">
        <v>99</v>
      </c>
      <c r="B2" s="5" t="s">
        <v>108</v>
      </c>
      <c r="C2" s="5" t="s">
        <v>100</v>
      </c>
      <c r="F2" s="5" t="s">
        <v>101</v>
      </c>
      <c r="G2" s="5" t="s">
        <v>102</v>
      </c>
      <c r="H2" s="5" t="s">
        <v>103</v>
      </c>
      <c r="J2" t="s">
        <v>104</v>
      </c>
      <c r="K2" s="5" t="s">
        <v>53</v>
      </c>
      <c r="L2" t="s">
        <v>105</v>
      </c>
      <c r="M2" s="5" t="s">
        <v>106</v>
      </c>
      <c r="N2" s="5"/>
      <c r="O2" s="5"/>
      <c r="P2" s="5"/>
      <c r="Q2" s="5"/>
      <c r="R2" s="5"/>
      <c r="S2" s="5"/>
    </row>
    <row r="3" spans="1:19" x14ac:dyDescent="0.25">
      <c r="A3" s="5" t="s">
        <v>107</v>
      </c>
      <c r="B3" s="5" t="s">
        <v>2</v>
      </c>
      <c r="C3" s="5" t="s">
        <v>109</v>
      </c>
      <c r="F3" s="5" t="s">
        <v>110</v>
      </c>
      <c r="G3" s="5" t="s">
        <v>111</v>
      </c>
      <c r="H3" s="5" t="s">
        <v>112</v>
      </c>
      <c r="J3" s="5" t="s">
        <v>113</v>
      </c>
      <c r="K3" s="5" t="s">
        <v>58</v>
      </c>
      <c r="L3" s="5" t="s">
        <v>114</v>
      </c>
      <c r="M3" s="5" t="s">
        <v>115</v>
      </c>
      <c r="N3" s="5"/>
      <c r="O3" s="5"/>
      <c r="P3" s="5"/>
      <c r="R3" s="5"/>
    </row>
    <row r="4" spans="1:19" x14ac:dyDescent="0.25">
      <c r="A4" s="5" t="s">
        <v>50</v>
      </c>
      <c r="C4" s="5" t="s">
        <v>116</v>
      </c>
      <c r="E4" s="5"/>
      <c r="G4" s="5" t="s">
        <v>117</v>
      </c>
      <c r="H4" s="5" t="s">
        <v>118</v>
      </c>
      <c r="J4" s="6" t="s">
        <v>119</v>
      </c>
      <c r="K4" s="5" t="s">
        <v>63</v>
      </c>
      <c r="L4" s="5" t="s">
        <v>120</v>
      </c>
      <c r="N4" s="5"/>
      <c r="R4" s="5"/>
    </row>
    <row r="5" spans="1:19" x14ac:dyDescent="0.25">
      <c r="A5" s="5" t="s">
        <v>19</v>
      </c>
      <c r="C5" s="5" t="s">
        <v>121</v>
      </c>
      <c r="G5" s="5" t="s">
        <v>118</v>
      </c>
      <c r="H5" s="5" t="s">
        <v>122</v>
      </c>
      <c r="J5" s="6" t="s">
        <v>123</v>
      </c>
      <c r="L5" s="5" t="s">
        <v>124</v>
      </c>
      <c r="M5" s="5"/>
      <c r="N5" s="5"/>
    </row>
    <row r="6" spans="1:19" x14ac:dyDescent="0.25">
      <c r="A6" s="5" t="s">
        <v>2</v>
      </c>
      <c r="C6" s="5" t="s">
        <v>2</v>
      </c>
      <c r="G6" s="5" t="s">
        <v>125</v>
      </c>
      <c r="H6" s="5" t="s">
        <v>126</v>
      </c>
      <c r="J6" t="s">
        <v>127</v>
      </c>
      <c r="L6" s="5" t="s">
        <v>128</v>
      </c>
      <c r="M6" s="5"/>
      <c r="N6" s="5"/>
    </row>
    <row r="7" spans="1:19" x14ac:dyDescent="0.25">
      <c r="A7" s="5" t="s">
        <v>129</v>
      </c>
      <c r="G7" s="5" t="s">
        <v>130</v>
      </c>
      <c r="H7" t="s">
        <v>131</v>
      </c>
      <c r="J7" t="s">
        <v>132</v>
      </c>
      <c r="L7" s="5" t="s">
        <v>133</v>
      </c>
    </row>
    <row r="8" spans="1:19" x14ac:dyDescent="0.25">
      <c r="A8" s="5" t="s">
        <v>134</v>
      </c>
      <c r="B8" s="5"/>
      <c r="G8" s="5" t="s">
        <v>135</v>
      </c>
      <c r="H8" s="5" t="s">
        <v>136</v>
      </c>
      <c r="J8" t="s">
        <v>137</v>
      </c>
      <c r="L8" s="5" t="s">
        <v>138</v>
      </c>
    </row>
    <row r="9" spans="1:19" x14ac:dyDescent="0.25">
      <c r="A9" s="5" t="s">
        <v>139</v>
      </c>
      <c r="B9" s="5"/>
      <c r="G9" s="5" t="s">
        <v>140</v>
      </c>
      <c r="H9" s="5" t="s">
        <v>141</v>
      </c>
      <c r="J9" t="s">
        <v>142</v>
      </c>
      <c r="L9" s="5" t="s">
        <v>143</v>
      </c>
    </row>
    <row r="10" spans="1:19" x14ac:dyDescent="0.25">
      <c r="A10" s="5" t="s">
        <v>144</v>
      </c>
      <c r="B10" s="5"/>
      <c r="D10" s="5"/>
      <c r="G10" s="5" t="s">
        <v>122</v>
      </c>
      <c r="H10" s="5" t="s">
        <v>2</v>
      </c>
      <c r="J10" t="s">
        <v>145</v>
      </c>
      <c r="L10" s="5" t="s">
        <v>146</v>
      </c>
    </row>
    <row r="11" spans="1:19" x14ac:dyDescent="0.25">
      <c r="A11" s="5" t="s">
        <v>147</v>
      </c>
      <c r="B11" s="5"/>
      <c r="D11" s="5"/>
      <c r="G11" s="5" t="s">
        <v>112</v>
      </c>
      <c r="J11" t="s">
        <v>148</v>
      </c>
    </row>
    <row r="12" spans="1:19" x14ac:dyDescent="0.25">
      <c r="G12" s="5" t="s">
        <v>126</v>
      </c>
      <c r="J12" t="s">
        <v>149</v>
      </c>
    </row>
    <row r="13" spans="1:19" x14ac:dyDescent="0.25">
      <c r="A13" s="5" t="s">
        <v>150</v>
      </c>
      <c r="B13" s="5" t="s">
        <v>151</v>
      </c>
      <c r="C13" s="5" t="s">
        <v>152</v>
      </c>
      <c r="D13" s="5" t="s">
        <v>153</v>
      </c>
      <c r="G13" s="5" t="s">
        <v>131</v>
      </c>
      <c r="J13" t="s">
        <v>24</v>
      </c>
    </row>
    <row r="14" spans="1:19" x14ac:dyDescent="0.25">
      <c r="A14" s="5" t="s">
        <v>154</v>
      </c>
      <c r="B14">
        <v>33.799999999999997</v>
      </c>
      <c r="C14" s="5" t="s">
        <v>155</v>
      </c>
      <c r="D14">
        <v>0.57499999999999996</v>
      </c>
      <c r="G14" s="5" t="s">
        <v>156</v>
      </c>
      <c r="J14" t="s">
        <v>157</v>
      </c>
    </row>
    <row r="15" spans="1:19" x14ac:dyDescent="0.25">
      <c r="A15" s="5" t="s">
        <v>158</v>
      </c>
      <c r="B15">
        <v>46.6</v>
      </c>
      <c r="C15" s="5" t="s">
        <v>159</v>
      </c>
      <c r="D15">
        <v>0.625</v>
      </c>
      <c r="G15" s="5" t="s">
        <v>160</v>
      </c>
    </row>
    <row r="16" spans="1:19" x14ac:dyDescent="0.25">
      <c r="A16" s="5" t="s">
        <v>161</v>
      </c>
      <c r="B16">
        <v>46.6</v>
      </c>
      <c r="C16" s="5" t="s">
        <v>159</v>
      </c>
      <c r="D16">
        <v>0.625</v>
      </c>
      <c r="G16" s="5" t="s">
        <v>162</v>
      </c>
    </row>
    <row r="17" spans="1:15" x14ac:dyDescent="0.25">
      <c r="A17" s="5" t="s">
        <v>163</v>
      </c>
      <c r="B17">
        <v>46.6</v>
      </c>
      <c r="C17" s="5" t="s">
        <v>159</v>
      </c>
      <c r="D17">
        <v>0.625</v>
      </c>
      <c r="G17" s="5" t="s">
        <v>164</v>
      </c>
    </row>
    <row r="18" spans="1:15" x14ac:dyDescent="0.25">
      <c r="A18" s="5" t="s">
        <v>165</v>
      </c>
      <c r="B18">
        <v>46.6</v>
      </c>
      <c r="C18" s="5" t="s">
        <v>159</v>
      </c>
      <c r="D18">
        <v>0.625</v>
      </c>
      <c r="G18" s="5" t="s">
        <v>166</v>
      </c>
    </row>
    <row r="19" spans="1:15" x14ac:dyDescent="0.25">
      <c r="A19" s="5" t="s">
        <v>167</v>
      </c>
      <c r="B19">
        <v>31.7</v>
      </c>
      <c r="C19" s="5" t="s">
        <v>155</v>
      </c>
      <c r="D19">
        <v>0.57499999999999996</v>
      </c>
      <c r="G19" s="5" t="s">
        <v>168</v>
      </c>
    </row>
    <row r="20" spans="1:15" x14ac:dyDescent="0.25">
      <c r="A20" s="5" t="s">
        <v>169</v>
      </c>
      <c r="B20">
        <v>31.7</v>
      </c>
      <c r="C20" s="5" t="s">
        <v>155</v>
      </c>
      <c r="D20">
        <v>0.57499999999999996</v>
      </c>
      <c r="G20" t="s">
        <v>170</v>
      </c>
    </row>
    <row r="21" spans="1:15" x14ac:dyDescent="0.25">
      <c r="A21" s="5" t="s">
        <v>171</v>
      </c>
      <c r="B21">
        <v>5</v>
      </c>
      <c r="C21" s="5" t="s">
        <v>172</v>
      </c>
      <c r="D21">
        <v>0.65349999999999997</v>
      </c>
      <c r="G21" t="s">
        <v>173</v>
      </c>
    </row>
    <row r="22" spans="1:15" x14ac:dyDescent="0.25">
      <c r="G22" t="s">
        <v>174</v>
      </c>
    </row>
    <row r="23" spans="1:15" x14ac:dyDescent="0.25">
      <c r="A23" s="5" t="s">
        <v>175</v>
      </c>
      <c r="G23" t="s">
        <v>176</v>
      </c>
    </row>
    <row r="24" spans="1:15" x14ac:dyDescent="0.25">
      <c r="A24" s="5" t="s">
        <v>177</v>
      </c>
      <c r="B24">
        <v>43.2</v>
      </c>
      <c r="C24" s="5" t="s">
        <v>178</v>
      </c>
      <c r="D24">
        <v>0.60499999999999998</v>
      </c>
      <c r="G24" t="s">
        <v>179</v>
      </c>
    </row>
    <row r="25" spans="1:15" x14ac:dyDescent="0.25">
      <c r="A25" s="5" t="s">
        <v>180</v>
      </c>
      <c r="B25">
        <v>43.2</v>
      </c>
      <c r="C25" s="5" t="s">
        <v>178</v>
      </c>
      <c r="D25">
        <v>0.60499999999999998</v>
      </c>
      <c r="G25" t="s">
        <v>181</v>
      </c>
    </row>
    <row r="26" spans="1:15" x14ac:dyDescent="0.25">
      <c r="A26" s="5" t="s">
        <v>182</v>
      </c>
      <c r="B26">
        <v>43.2</v>
      </c>
      <c r="C26" s="5" t="s">
        <v>178</v>
      </c>
      <c r="D26">
        <v>0.60499999999999998</v>
      </c>
      <c r="G26" t="s">
        <v>183</v>
      </c>
    </row>
    <row r="27" spans="1:15" x14ac:dyDescent="0.25">
      <c r="A27" s="5" t="s">
        <v>184</v>
      </c>
      <c r="B27">
        <v>43.2</v>
      </c>
      <c r="C27" s="5" t="s">
        <v>178</v>
      </c>
      <c r="D27">
        <v>0.60499999999999998</v>
      </c>
      <c r="G27" t="s">
        <v>185</v>
      </c>
      <c r="I27" t="s">
        <v>186</v>
      </c>
      <c r="O27" s="5"/>
    </row>
    <row r="28" spans="1:15" x14ac:dyDescent="0.25">
      <c r="A28" s="5" t="s">
        <v>187</v>
      </c>
      <c r="B28">
        <v>37.799999999999997</v>
      </c>
      <c r="C28" s="5" t="s">
        <v>188</v>
      </c>
      <c r="D28">
        <v>0.60499999999999998</v>
      </c>
      <c r="G28" t="s">
        <v>189</v>
      </c>
      <c r="J28" t="s">
        <v>190</v>
      </c>
      <c r="K28" t="s">
        <v>191</v>
      </c>
      <c r="L28" t="s">
        <v>192</v>
      </c>
    </row>
    <row r="29" spans="1:15" x14ac:dyDescent="0.25">
      <c r="A29" s="5" t="s">
        <v>193</v>
      </c>
      <c r="B29">
        <v>37.799999999999997</v>
      </c>
      <c r="C29" s="5" t="s">
        <v>188</v>
      </c>
      <c r="D29">
        <v>0.60499999999999998</v>
      </c>
      <c r="G29" t="s">
        <v>194</v>
      </c>
      <c r="H29" t="s">
        <v>195</v>
      </c>
      <c r="I29">
        <v>0.60499999999999998</v>
      </c>
      <c r="J29" s="21">
        <f>K29/I29/L29</f>
        <v>12.396694214876034</v>
      </c>
      <c r="K29">
        <v>9000</v>
      </c>
      <c r="L29">
        <v>1200</v>
      </c>
    </row>
    <row r="30" spans="1:15" x14ac:dyDescent="0.25">
      <c r="A30" s="5" t="s">
        <v>196</v>
      </c>
      <c r="B30">
        <v>38.700000000000003</v>
      </c>
      <c r="C30" s="5" t="s">
        <v>178</v>
      </c>
      <c r="D30">
        <v>0.60499999999999998</v>
      </c>
      <c r="G30" s="42" t="s">
        <v>197</v>
      </c>
      <c r="H30" t="s">
        <v>195</v>
      </c>
      <c r="I30">
        <v>0.60499999999999998</v>
      </c>
      <c r="J30" s="21">
        <f>K30/I30/L30</f>
        <v>16.528925619834713</v>
      </c>
      <c r="K30">
        <v>3000</v>
      </c>
      <c r="L30">
        <v>300</v>
      </c>
    </row>
    <row r="31" spans="1:15" x14ac:dyDescent="0.25">
      <c r="A31" s="5" t="s">
        <v>198</v>
      </c>
      <c r="B31">
        <v>5</v>
      </c>
      <c r="C31" s="5" t="s">
        <v>172</v>
      </c>
      <c r="D31">
        <v>0.65349999999999997</v>
      </c>
      <c r="G31" s="43" t="s">
        <v>199</v>
      </c>
    </row>
    <row r="32" spans="1:15" x14ac:dyDescent="0.25">
      <c r="G32" s="42" t="s">
        <v>200</v>
      </c>
    </row>
    <row r="33" spans="1:7" x14ac:dyDescent="0.25">
      <c r="A33" s="5" t="s">
        <v>48</v>
      </c>
      <c r="G33" s="43" t="s">
        <v>201</v>
      </c>
    </row>
    <row r="34" spans="1:7" x14ac:dyDescent="0.25">
      <c r="A34" s="5" t="s">
        <v>202</v>
      </c>
      <c r="B34">
        <v>43.2</v>
      </c>
      <c r="C34" s="5" t="s">
        <v>178</v>
      </c>
      <c r="D34">
        <v>0.60499999999999998</v>
      </c>
      <c r="G34" t="s">
        <v>203</v>
      </c>
    </row>
    <row r="35" spans="1:7" x14ac:dyDescent="0.25">
      <c r="A35" s="5" t="s">
        <v>204</v>
      </c>
      <c r="B35">
        <v>37.799999999999997</v>
      </c>
      <c r="C35" s="5" t="s">
        <v>188</v>
      </c>
      <c r="D35">
        <v>0.60499999999999998</v>
      </c>
      <c r="G35" t="s">
        <v>205</v>
      </c>
    </row>
    <row r="36" spans="1:7" x14ac:dyDescent="0.25">
      <c r="A36" s="5" t="s">
        <v>206</v>
      </c>
      <c r="B36">
        <v>38.700000000000003</v>
      </c>
      <c r="C36" s="5" t="s">
        <v>178</v>
      </c>
      <c r="D36">
        <v>0.60499999999999998</v>
      </c>
      <c r="G36" t="s">
        <v>207</v>
      </c>
    </row>
    <row r="37" spans="1:7" x14ac:dyDescent="0.25">
      <c r="A37" s="5" t="s">
        <v>208</v>
      </c>
      <c r="B37">
        <v>5</v>
      </c>
      <c r="C37" s="5" t="s">
        <v>172</v>
      </c>
      <c r="D37">
        <v>0.65349999999999997</v>
      </c>
      <c r="G37" t="s">
        <v>209</v>
      </c>
    </row>
    <row r="38" spans="1:7" x14ac:dyDescent="0.25">
      <c r="G38" t="s">
        <v>210</v>
      </c>
    </row>
    <row r="39" spans="1:7" x14ac:dyDescent="0.25">
      <c r="A39" s="5" t="s">
        <v>211</v>
      </c>
    </row>
    <row r="40" spans="1:7" x14ac:dyDescent="0.25">
      <c r="A40" s="5" t="s">
        <v>212</v>
      </c>
      <c r="B40">
        <v>33.799999999999997</v>
      </c>
      <c r="C40" s="5" t="s">
        <v>155</v>
      </c>
      <c r="D40">
        <v>0.57499999999999996</v>
      </c>
    </row>
    <row r="41" spans="1:7" x14ac:dyDescent="0.25">
      <c r="A41" s="5" t="s">
        <v>213</v>
      </c>
      <c r="B41">
        <v>46.6</v>
      </c>
      <c r="C41" s="5" t="s">
        <v>159</v>
      </c>
      <c r="D41">
        <v>0.625</v>
      </c>
    </row>
    <row r="42" spans="1:7" x14ac:dyDescent="0.25">
      <c r="A42" s="5" t="s">
        <v>214</v>
      </c>
      <c r="B42">
        <v>31.7</v>
      </c>
      <c r="C42" s="5" t="s">
        <v>155</v>
      </c>
      <c r="D42">
        <v>0.57499999999999996</v>
      </c>
    </row>
    <row r="43" spans="1:7" x14ac:dyDescent="0.25">
      <c r="A43" s="5" t="s">
        <v>215</v>
      </c>
      <c r="B43">
        <v>5</v>
      </c>
      <c r="C43" s="5" t="s">
        <v>172</v>
      </c>
      <c r="D43">
        <v>0.65349999999999997</v>
      </c>
    </row>
    <row r="44" spans="1:7" x14ac:dyDescent="0.25">
      <c r="A44" s="5" t="s">
        <v>216</v>
      </c>
    </row>
    <row r="45" spans="1:7" x14ac:dyDescent="0.25">
      <c r="A45">
        <f>IF(OR(COUNTIF('Submission Form Entry'!$B$34:$B$44,A46),COUNTIF('Submission Form Entry'!$B$34:$B$44,A47),COUNTIF('Submission Form Entry'!$B$34:$B$44,A48),COUNTIF('Submission Form Entry'!$B$34:$B$44,A49),COUNTIF('Submission Form Entry'!$B$34:$B$44,A50),COUNTIF('Submission Form Entry'!$B$34:$B$44,A51),COUNTIF('Submission Form Entry'!$B$34:$B$44,A52),COUNTIF('Submission Form Entry'!$B$34:$B$44,A53),COUNTIF('Submission Form Entry'!$B$34:$B$44,A54),COUNTIF('Submission Form Entry'!$B$34:$B$44,A55),COUNTIF('Submission Form Entry'!$B$34:$B$44,A56),COUNTIF('Submission Form Entry'!$B$34:$B$44,A57))=TRUE,1,0)</f>
        <v>0</v>
      </c>
      <c r="B45">
        <f>IF(OR(COUNTIF('Submission Form Entry'!$B$34:$B$44,B46),COUNTIF('Submission Form Entry'!$B$34:$B$44,B47),COUNTIF('Submission Form Entry'!$B$34:$B$44,B48),COUNTIF('Submission Form Entry'!$B$34:$B$44,B49),COUNTIF('Submission Form Entry'!$B$34:$B$44,B50),COUNTIF('Submission Form Entry'!$B$34:$B$44,B51),COUNTIF('Submission Form Entry'!$B$34:$B$44,B52))=TRUE,3,0)</f>
        <v>0</v>
      </c>
      <c r="C45">
        <f>IF(OR(COUNTIF('Submission Form Entry'!$B$34:$B$44,C46),COUNTIF('Submission Form Entry'!$B$34:$B$44,C47),COUNTIF('Submission Form Entry'!$B$34:$B$44,C48),COUNTIF('Submission Form Entry'!$B$34:$B$44,C49))=TRUE,5,0)</f>
        <v>0</v>
      </c>
    </row>
    <row r="46" spans="1:7" x14ac:dyDescent="0.25">
      <c r="A46" s="5" t="s">
        <v>212</v>
      </c>
      <c r="B46" s="5" t="s">
        <v>167</v>
      </c>
      <c r="C46" s="5" t="s">
        <v>171</v>
      </c>
    </row>
    <row r="47" spans="1:7" x14ac:dyDescent="0.25">
      <c r="A47" s="5" t="s">
        <v>213</v>
      </c>
      <c r="B47" s="5" t="s">
        <v>169</v>
      </c>
      <c r="C47" s="5" t="s">
        <v>198</v>
      </c>
    </row>
    <row r="48" spans="1:7" x14ac:dyDescent="0.25">
      <c r="A48" s="5" t="s">
        <v>202</v>
      </c>
      <c r="B48" s="5" t="s">
        <v>187</v>
      </c>
      <c r="C48" s="5" t="s">
        <v>208</v>
      </c>
    </row>
    <row r="49" spans="1:3" x14ac:dyDescent="0.25">
      <c r="A49" s="5" t="s">
        <v>217</v>
      </c>
      <c r="B49" s="5" t="s">
        <v>193</v>
      </c>
      <c r="C49" s="5" t="s">
        <v>215</v>
      </c>
    </row>
    <row r="50" spans="1:3" x14ac:dyDescent="0.25">
      <c r="A50" s="5" t="s">
        <v>180</v>
      </c>
      <c r="B50" t="s">
        <v>196</v>
      </c>
    </row>
    <row r="51" spans="1:3" x14ac:dyDescent="0.25">
      <c r="A51" s="5" t="s">
        <v>182</v>
      </c>
      <c r="B51" s="5" t="s">
        <v>204</v>
      </c>
    </row>
    <row r="52" spans="1:3" x14ac:dyDescent="0.25">
      <c r="A52" s="5" t="s">
        <v>184</v>
      </c>
      <c r="B52" t="s">
        <v>214</v>
      </c>
    </row>
    <row r="53" spans="1:3" x14ac:dyDescent="0.25">
      <c r="A53" s="5" t="s">
        <v>154</v>
      </c>
    </row>
    <row r="54" spans="1:3" x14ac:dyDescent="0.25">
      <c r="A54" s="5" t="s">
        <v>158</v>
      </c>
    </row>
    <row r="55" spans="1:3" x14ac:dyDescent="0.25">
      <c r="A55" s="5" t="s">
        <v>161</v>
      </c>
    </row>
    <row r="56" spans="1:3" x14ac:dyDescent="0.25">
      <c r="A56" s="5" t="s">
        <v>163</v>
      </c>
    </row>
    <row r="57" spans="1:3" x14ac:dyDescent="0.25">
      <c r="A57" s="5" t="s">
        <v>165</v>
      </c>
    </row>
    <row r="58" spans="1:3" x14ac:dyDescent="0.25">
      <c r="A58" s="5"/>
    </row>
    <row r="59" spans="1:3" x14ac:dyDescent="0.25">
      <c r="A59">
        <v>1</v>
      </c>
      <c r="B59">
        <v>8</v>
      </c>
      <c r="C59">
        <v>5</v>
      </c>
    </row>
    <row r="60" spans="1:3" x14ac:dyDescent="0.25">
      <c r="A60">
        <v>4</v>
      </c>
      <c r="B60">
        <v>3</v>
      </c>
    </row>
    <row r="62" spans="1:3" x14ac:dyDescent="0.25">
      <c r="A62">
        <v>9</v>
      </c>
    </row>
  </sheetData>
  <dataConsolidate/>
  <dataValidations count="1">
    <dataValidation type="list" allowBlank="1" showInputMessage="1" showErrorMessage="1" sqref="E2:E3" xr:uid="{00000000-0002-0000-0500-000000000000}">
      <formula1>INDIRECT(D2)</formula1>
    </dataValidation>
  </dataValidation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36bb568-112f-4365-825e-eccb018b54b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068981C54C104490023C102E55FA5E" ma:contentTypeVersion="13" ma:contentTypeDescription="Create a new document." ma:contentTypeScope="" ma:versionID="9d29a8ef2880fbc529fce13ef9207a67">
  <xsd:schema xmlns:xsd="http://www.w3.org/2001/XMLSchema" xmlns:xs="http://www.w3.org/2001/XMLSchema" xmlns:p="http://schemas.microsoft.com/office/2006/metadata/properties" xmlns:ns3="fd8ababe-5010-4e5b-866e-128fa1bea12e" xmlns:ns4="236bb568-112f-4365-825e-eccb018b54b4" targetNamespace="http://schemas.microsoft.com/office/2006/metadata/properties" ma:root="true" ma:fieldsID="3a12344b3451421b53cace71fff626e3" ns3:_="" ns4:_="">
    <xsd:import namespace="fd8ababe-5010-4e5b-866e-128fa1bea12e"/>
    <xsd:import namespace="236bb568-112f-4365-825e-eccb018b54b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babe-5010-4e5b-866e-128fa1bea1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bb568-112f-4365-825e-eccb018b5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BC27C8-16B4-4821-B263-C49DF83F011D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236bb568-112f-4365-825e-eccb018b54b4"/>
    <ds:schemaRef ds:uri="http://schemas.openxmlformats.org/package/2006/metadata/core-properties"/>
    <ds:schemaRef ds:uri="fd8ababe-5010-4e5b-866e-128fa1bea12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7B565A8-F835-4281-8556-3DEE2E6D9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860C70-7373-4DDC-95CF-959ED6201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babe-5010-4e5b-866e-128fa1bea12e"/>
    <ds:schemaRef ds:uri="236bb568-112f-4365-825e-eccb018b54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</vt:i4>
      </vt:variant>
    </vt:vector>
  </HeadingPairs>
  <TitlesOfParts>
    <vt:vector size="20" baseType="lpstr">
      <vt:lpstr>Submission Form Entry</vt:lpstr>
      <vt:lpstr>Sheet1</vt:lpstr>
      <vt:lpstr>Lists_New</vt:lpstr>
      <vt:lpstr>Sheet2</vt:lpstr>
      <vt:lpstr>LIMS upload</vt:lpstr>
      <vt:lpstr>Lists</vt:lpstr>
      <vt:lpstr>apple</vt:lpstr>
      <vt:lpstr>banana</vt:lpstr>
      <vt:lpstr>ChemOptions3pr</vt:lpstr>
      <vt:lpstr>ChemOptions5pr</vt:lpstr>
      <vt:lpstr>CiteSeq3pr</vt:lpstr>
      <vt:lpstr>CiteSeq5pr</vt:lpstr>
      <vt:lpstr>HTCiteseqOptions</vt:lpstr>
      <vt:lpstr>New_Kits</vt:lpstr>
      <vt:lpstr>NextGEM</vt:lpstr>
      <vt:lpstr>Nucseq</vt:lpstr>
      <vt:lpstr>NucseqNextGEM</vt:lpstr>
      <vt:lpstr>Old_Kits</vt:lpstr>
      <vt:lpstr>Original_GEM</vt:lpstr>
      <vt:lpstr>Sample_Source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Nicholas Khuu</dc:creator>
  <cp:keywords/>
  <dc:description/>
  <cp:lastModifiedBy>Verma, Urja</cp:lastModifiedBy>
  <cp:revision/>
  <dcterms:created xsi:type="dcterms:W3CDTF">2016-06-20T18:01:10Z</dcterms:created>
  <dcterms:modified xsi:type="dcterms:W3CDTF">2024-09-11T17:09:24Z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0x0101001B068981C54C104490023C102E55FA5E</vt:lpwstr>
  </property>
</Properties>
</file>